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https://tdainc4all-my.sharepoint.com/personal/slathom_tdainc_org/Documents/Desktop/San Antonio/"/>
    </mc:Choice>
  </mc:AlternateContent>
  <xr:revisionPtr revIDLastSave="24" documentId="8_{BE2005A3-019F-4E6F-B80E-AF79AE977AAC}" xr6:coauthVersionLast="47" xr6:coauthVersionMax="47" xr10:uidLastSave="{80DBAC02-82F9-40A5-88CA-62266782146E}"/>
  <bookViews>
    <workbookView xWindow="-93" yWindow="-93" windowWidth="25786" windowHeight="13866" tabRatio="691" activeTab="5" xr2:uid="{DDDD2A74-FAE8-4B1C-89F5-1A9A74DE506D}"/>
  </bookViews>
  <sheets>
    <sheet name="0)Instructions" sheetId="15" r:id="rId1"/>
    <sheet name="1)Summary &amp; Gap" sheetId="7" r:id="rId2"/>
    <sheet name="2)Units&amp;Revenue" sheetId="1" r:id="rId3"/>
    <sheet name="3)Operating Budget" sheetId="2" r:id="rId4"/>
    <sheet name="4)20 Yr Projection" sheetId="8" r:id="rId5"/>
    <sheet name="5)Dev Budget" sheetId="11" r:id="rId6"/>
    <sheet name="6)TC Equity" sheetId="12" r:id="rId7"/>
    <sheet name="7)Const Cash Flow" sheetId="5" r:id="rId8"/>
    <sheet name="8)Lease-Up" sheetId="14" r:id="rId9"/>
  </sheets>
  <definedNames>
    <definedName name="DDF">'1)Summary &amp; Gap'!$E$52</definedName>
    <definedName name="Developer">'1)Summary &amp; Gap'!$D$10</definedName>
    <definedName name="Equity">'6)TC Equity'!$C$27</definedName>
    <definedName name="MktUnits">'1)Summary &amp; Gap'!$H$21</definedName>
    <definedName name="_xlnm.Print_Area" localSheetId="1">'1)Summary &amp; Gap'!$A$1:$H$56</definedName>
    <definedName name="_xlnm.Print_Area" localSheetId="2">'2)Units&amp;Revenue'!$A$2:$N$67</definedName>
    <definedName name="_xlnm.Print_Titles" localSheetId="4">'4)20 Yr Projection'!$A:$B</definedName>
    <definedName name="_xlnm.Print_Titles" localSheetId="7">'7)Const Cash Flow'!$A:$B</definedName>
    <definedName name="Project">'1)Summary &amp; Gap'!$D$4</definedName>
    <definedName name="SqFt">'2)Units&amp;Revenue'!$M$56</definedName>
    <definedName name="TDC">'1)Summary &amp; Gap'!$E$42</definedName>
    <definedName name="UA0B">'2)Units&amp;Revenue'!$M$60</definedName>
    <definedName name="UA1B">'2)Units&amp;Revenue'!$M$61</definedName>
    <definedName name="UA2B">'2)Units&amp;Revenue'!$M$62</definedName>
    <definedName name="UA3B">'2)Units&amp;Revenue'!$M$63</definedName>
    <definedName name="UA4B">'2)Units&amp;Revenue'!$M$64</definedName>
    <definedName name="Units">'2)Units&amp;Revenue'!$C$56</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3" i="11" l="1"/>
  <c r="C134" i="11"/>
  <c r="C27" i="12"/>
  <c r="AO24" i="5"/>
  <c r="AO22" i="5"/>
  <c r="AO21" i="5"/>
  <c r="AO20" i="5"/>
  <c r="AO19" i="5"/>
  <c r="AO17" i="5"/>
  <c r="C49" i="8"/>
  <c r="G21" i="7"/>
  <c r="F21" i="7"/>
  <c r="E21" i="7"/>
  <c r="D21" i="7"/>
  <c r="G20" i="7"/>
  <c r="F20" i="7"/>
  <c r="E20" i="7"/>
  <c r="D20" i="7"/>
  <c r="G19" i="7"/>
  <c r="F19" i="7"/>
  <c r="E19" i="7"/>
  <c r="D19" i="7"/>
  <c r="G18" i="7"/>
  <c r="F18" i="7"/>
  <c r="E18" i="7"/>
  <c r="D18" i="7"/>
  <c r="G17" i="7"/>
  <c r="F17" i="7"/>
  <c r="E17" i="7"/>
  <c r="D17" i="7"/>
  <c r="G16" i="7"/>
  <c r="F16" i="7"/>
  <c r="E16" i="7"/>
  <c r="D16" i="7"/>
  <c r="G15" i="7"/>
  <c r="F15" i="7"/>
  <c r="E15" i="7"/>
  <c r="D15" i="7"/>
  <c r="C21" i="7"/>
  <c r="C20" i="7"/>
  <c r="C19" i="7"/>
  <c r="C18" i="7"/>
  <c r="C17" i="7"/>
  <c r="C16" i="7"/>
  <c r="C15" i="7"/>
  <c r="I51" i="7" l="1"/>
  <c r="J122" i="11"/>
  <c r="J121" i="11"/>
  <c r="J120" i="11"/>
  <c r="J104" i="11"/>
  <c r="J103" i="11"/>
  <c r="J102" i="11"/>
  <c r="J101" i="11"/>
  <c r="J100" i="11"/>
  <c r="J52" i="11"/>
  <c r="J51" i="11"/>
  <c r="J50" i="11"/>
  <c r="J6" i="11"/>
  <c r="L6" i="11"/>
  <c r="L15" i="11"/>
  <c r="J15" i="11"/>
  <c r="J28" i="11"/>
  <c r="J35" i="11"/>
  <c r="J34" i="11"/>
  <c r="E2" i="14"/>
  <c r="B2" i="14"/>
  <c r="AP1" i="5"/>
  <c r="AM1" i="5"/>
  <c r="AJ1" i="5"/>
  <c r="AG1" i="5"/>
  <c r="AD1" i="5"/>
  <c r="AA1" i="5"/>
  <c r="X1" i="5"/>
  <c r="U1" i="5"/>
  <c r="R1" i="5"/>
  <c r="O1" i="5"/>
  <c r="L1" i="5"/>
  <c r="I1" i="5"/>
  <c r="F1" i="5"/>
  <c r="C1" i="5"/>
  <c r="E2" i="12"/>
  <c r="B2" i="12"/>
  <c r="B2" i="11"/>
  <c r="D2" i="11"/>
  <c r="T1" i="8"/>
  <c r="Q1" i="8"/>
  <c r="G1" i="8"/>
  <c r="D1" i="8"/>
  <c r="E2" i="2"/>
  <c r="E3" i="1"/>
  <c r="B3" i="1"/>
  <c r="B2" i="2"/>
  <c r="O52" i="1"/>
  <c r="O51" i="1"/>
  <c r="O50" i="1"/>
  <c r="O49" i="1"/>
  <c r="O48" i="1"/>
  <c r="O47" i="1"/>
  <c r="O46" i="1"/>
  <c r="O42" i="1"/>
  <c r="O41" i="1"/>
  <c r="O40" i="1"/>
  <c r="O39" i="1"/>
  <c r="O38" i="1"/>
  <c r="O37" i="1"/>
  <c r="O36" i="1"/>
  <c r="O32" i="1"/>
  <c r="O31" i="1"/>
  <c r="O30" i="1"/>
  <c r="O29" i="1"/>
  <c r="O28" i="1"/>
  <c r="O27" i="1"/>
  <c r="O26" i="1"/>
  <c r="O22" i="1"/>
  <c r="O21" i="1"/>
  <c r="O20" i="1"/>
  <c r="O19" i="1"/>
  <c r="O18" i="1"/>
  <c r="O17" i="1"/>
  <c r="O16" i="1"/>
  <c r="O12" i="1"/>
  <c r="O11" i="1"/>
  <c r="O10" i="1"/>
  <c r="O9" i="1"/>
  <c r="O8" i="1"/>
  <c r="O7" i="1"/>
  <c r="O6" i="1"/>
  <c r="B15" i="14" l="1"/>
  <c r="D2" i="5"/>
  <c r="E2" i="5" s="1"/>
  <c r="F2" i="5" s="1"/>
  <c r="G2" i="5" s="1"/>
  <c r="H2" i="5" s="1"/>
  <c r="I2" i="5" s="1"/>
  <c r="J2" i="5" s="1"/>
  <c r="K2" i="5" s="1"/>
  <c r="L2" i="5" s="1"/>
  <c r="M2" i="5" s="1"/>
  <c r="N2" i="5" s="1"/>
  <c r="O2" i="5" s="1"/>
  <c r="P2" i="5" s="1"/>
  <c r="Q2" i="5" s="1"/>
  <c r="R2" i="5" s="1"/>
  <c r="S2" i="5" s="1"/>
  <c r="T2" i="5" s="1"/>
  <c r="U2" i="5" s="1"/>
  <c r="V2" i="5" s="1"/>
  <c r="W2" i="5" l="1"/>
  <c r="X2" i="5" s="1"/>
  <c r="Y2" i="5" s="1"/>
  <c r="Z2" i="5" s="1"/>
  <c r="AA2" i="5" s="1"/>
  <c r="AB2" i="5" s="1"/>
  <c r="AC2" i="5" s="1"/>
  <c r="AD2" i="5" s="1"/>
  <c r="AE2" i="5" s="1"/>
  <c r="AF2" i="5" s="1"/>
  <c r="AG2" i="5" s="1"/>
  <c r="AH2" i="5" s="1"/>
  <c r="AI2" i="5" s="1"/>
  <c r="B16" i="14"/>
  <c r="L22" i="11"/>
  <c r="J22" i="11"/>
  <c r="L21" i="11"/>
  <c r="J21" i="11"/>
  <c r="C130" i="11"/>
  <c r="L101" i="11"/>
  <c r="L121" i="11"/>
  <c r="D86" i="2"/>
  <c r="D32" i="7" s="1"/>
  <c r="J68" i="11"/>
  <c r="B22" i="8"/>
  <c r="B21" i="8"/>
  <c r="B20" i="8"/>
  <c r="B19" i="8"/>
  <c r="B18" i="8"/>
  <c r="B17" i="8"/>
  <c r="B16" i="8"/>
  <c r="B15" i="8"/>
  <c r="B14" i="8"/>
  <c r="B7" i="8"/>
  <c r="B6" i="8"/>
  <c r="D85" i="2"/>
  <c r="F84" i="2"/>
  <c r="D83" i="2"/>
  <c r="D30" i="7" l="1"/>
  <c r="Q29" i="8"/>
  <c r="O29" i="8"/>
  <c r="G29" i="8"/>
  <c r="V29" i="8"/>
  <c r="N29" i="8"/>
  <c r="F29" i="8"/>
  <c r="U29" i="8"/>
  <c r="M29" i="8"/>
  <c r="E29" i="8"/>
  <c r="T29" i="8"/>
  <c r="L29" i="8"/>
  <c r="D29" i="8"/>
  <c r="S29" i="8"/>
  <c r="K29" i="8"/>
  <c r="C29" i="8"/>
  <c r="R29" i="8"/>
  <c r="J29" i="8"/>
  <c r="I29" i="8"/>
  <c r="P29" i="8"/>
  <c r="H29" i="8"/>
  <c r="AJ2" i="5"/>
  <c r="AK2" i="5" s="1"/>
  <c r="AL2" i="5" s="1"/>
  <c r="AM2" i="5" s="1"/>
  <c r="B17" i="14"/>
  <c r="H19" i="7"/>
  <c r="M21" i="1"/>
  <c r="J21" i="1"/>
  <c r="K21" i="1" s="1"/>
  <c r="H21" i="1"/>
  <c r="I21" i="1" s="1"/>
  <c r="M30" i="1"/>
  <c r="J30" i="1"/>
  <c r="K30" i="1" s="1"/>
  <c r="H30" i="1"/>
  <c r="I30" i="1" s="1"/>
  <c r="M19" i="1"/>
  <c r="J19" i="1"/>
  <c r="K19" i="1" s="1"/>
  <c r="H19" i="1"/>
  <c r="I19" i="1" s="1"/>
  <c r="M18" i="1"/>
  <c r="J18" i="1"/>
  <c r="K18" i="1" s="1"/>
  <c r="H18" i="1"/>
  <c r="I18" i="1" s="1"/>
  <c r="K103" i="1"/>
  <c r="K102" i="1"/>
  <c r="K101" i="1"/>
  <c r="K100" i="1"/>
  <c r="K99" i="1"/>
  <c r="H79" i="1"/>
  <c r="J95" i="1" s="1"/>
  <c r="G79" i="1"/>
  <c r="F79" i="1"/>
  <c r="E79" i="1"/>
  <c r="J93" i="1" s="1"/>
  <c r="D79" i="1"/>
  <c r="C79" i="1"/>
  <c r="J91" i="1" s="1"/>
  <c r="L78" i="1"/>
  <c r="K78" i="1"/>
  <c r="H77" i="1"/>
  <c r="G77" i="1"/>
  <c r="F77" i="1"/>
  <c r="E77" i="1"/>
  <c r="D77" i="1"/>
  <c r="C77" i="1"/>
  <c r="L76" i="1"/>
  <c r="K76" i="1"/>
  <c r="L75" i="1"/>
  <c r="K75" i="1"/>
  <c r="H74" i="1"/>
  <c r="G74" i="1"/>
  <c r="F74" i="1"/>
  <c r="E74" i="1"/>
  <c r="D74" i="1"/>
  <c r="C74" i="1"/>
  <c r="L73" i="1"/>
  <c r="K73" i="1"/>
  <c r="B18" i="14" l="1"/>
  <c r="L74" i="1"/>
  <c r="K74" i="1"/>
  <c r="L77" i="1"/>
  <c r="K77" i="1"/>
  <c r="L79" i="1"/>
  <c r="J94" i="1" s="1"/>
  <c r="J102" i="1" s="1"/>
  <c r="J103" i="1"/>
  <c r="H95" i="1"/>
  <c r="G95" i="1"/>
  <c r="D95" i="1"/>
  <c r="I95" i="1"/>
  <c r="F95" i="1"/>
  <c r="E95" i="1"/>
  <c r="E103" i="1" s="1"/>
  <c r="C95" i="1"/>
  <c r="C103" i="1" s="1"/>
  <c r="J99" i="1"/>
  <c r="I91" i="1"/>
  <c r="H91" i="1"/>
  <c r="G91" i="1"/>
  <c r="E91" i="1"/>
  <c r="D91" i="1"/>
  <c r="F91" i="1"/>
  <c r="C91" i="1"/>
  <c r="C99" i="1" s="1"/>
  <c r="J101" i="1"/>
  <c r="H93" i="1"/>
  <c r="G93" i="1"/>
  <c r="E93" i="1"/>
  <c r="D93" i="1"/>
  <c r="I93" i="1"/>
  <c r="F93" i="1"/>
  <c r="C93" i="1"/>
  <c r="C101" i="1" s="1"/>
  <c r="K79" i="1"/>
  <c r="J92" i="1" s="1"/>
  <c r="B19" i="14" l="1"/>
  <c r="F99" i="1"/>
  <c r="L8" i="1"/>
  <c r="G101" i="1"/>
  <c r="L29" i="1"/>
  <c r="G103" i="1"/>
  <c r="L49" i="1"/>
  <c r="H101" i="1"/>
  <c r="L30" i="1"/>
  <c r="I99" i="1"/>
  <c r="L11" i="1"/>
  <c r="H103" i="1"/>
  <c r="L50" i="1"/>
  <c r="F101" i="1"/>
  <c r="L28" i="1"/>
  <c r="H99" i="1"/>
  <c r="L10" i="1"/>
  <c r="I101" i="1"/>
  <c r="L31" i="1"/>
  <c r="D99" i="1"/>
  <c r="L6" i="1"/>
  <c r="F103" i="1"/>
  <c r="L48" i="1"/>
  <c r="D101" i="1"/>
  <c r="L26" i="1"/>
  <c r="E99" i="1"/>
  <c r="L7" i="1"/>
  <c r="I103" i="1"/>
  <c r="L51" i="1"/>
  <c r="E101" i="1"/>
  <c r="L27" i="1"/>
  <c r="G99" i="1"/>
  <c r="L9" i="1"/>
  <c r="D103" i="1"/>
  <c r="L46" i="1"/>
  <c r="E94" i="1"/>
  <c r="G94" i="1"/>
  <c r="C94" i="1"/>
  <c r="C102" i="1" s="1"/>
  <c r="D94" i="1"/>
  <c r="I94" i="1"/>
  <c r="F94" i="1"/>
  <c r="H94" i="1"/>
  <c r="J100" i="1"/>
  <c r="H92" i="1"/>
  <c r="F92" i="1"/>
  <c r="C92" i="1"/>
  <c r="C100" i="1" s="1"/>
  <c r="I92" i="1"/>
  <c r="G92" i="1"/>
  <c r="E92" i="1"/>
  <c r="D92" i="1"/>
  <c r="B20" i="14" l="1"/>
  <c r="E102" i="1"/>
  <c r="L47" i="1"/>
  <c r="L37" i="1"/>
  <c r="H102" i="1"/>
  <c r="L40" i="1"/>
  <c r="F102" i="1"/>
  <c r="L38" i="1"/>
  <c r="G100" i="1"/>
  <c r="L19" i="1"/>
  <c r="I102" i="1"/>
  <c r="L41" i="1"/>
  <c r="D100" i="1"/>
  <c r="L16" i="1"/>
  <c r="E100" i="1"/>
  <c r="L17" i="1"/>
  <c r="I100" i="1"/>
  <c r="L21" i="1"/>
  <c r="D102" i="1"/>
  <c r="L36" i="1"/>
  <c r="H100" i="1"/>
  <c r="L20" i="1"/>
  <c r="F100" i="1"/>
  <c r="L18" i="1"/>
  <c r="G102" i="1"/>
  <c r="L39" i="1"/>
  <c r="B21" i="14" l="1"/>
  <c r="B22" i="14" l="1"/>
  <c r="B23" i="14" l="1"/>
  <c r="B24" i="14" l="1"/>
  <c r="G133" i="11"/>
  <c r="B25" i="14" l="1"/>
  <c r="B26" i="14" l="1"/>
  <c r="B27" i="14" l="1"/>
  <c r="G61" i="11"/>
  <c r="B8" i="5" s="1"/>
  <c r="AO8" i="5" s="1"/>
  <c r="B6" i="5"/>
  <c r="AO6" i="5" s="1"/>
  <c r="B8" i="8"/>
  <c r="C19" i="8"/>
  <c r="D19" i="8" s="1"/>
  <c r="E19" i="8" s="1"/>
  <c r="F19" i="8" s="1"/>
  <c r="G19" i="8" s="1"/>
  <c r="H19" i="8" s="1"/>
  <c r="I19" i="8" s="1"/>
  <c r="J19" i="8" s="1"/>
  <c r="K19" i="8" s="1"/>
  <c r="L19" i="8" s="1"/>
  <c r="M19" i="8" s="1"/>
  <c r="N19" i="8" s="1"/>
  <c r="O19" i="8" s="1"/>
  <c r="P19" i="8" s="1"/>
  <c r="Q19" i="8" s="1"/>
  <c r="R19" i="8" s="1"/>
  <c r="S19" i="8" s="1"/>
  <c r="T19" i="8" s="1"/>
  <c r="U19" i="8" s="1"/>
  <c r="V19" i="8" s="1"/>
  <c r="C20" i="8"/>
  <c r="D20" i="8" s="1"/>
  <c r="E20" i="8" s="1"/>
  <c r="F20" i="8" s="1"/>
  <c r="G20" i="8" s="1"/>
  <c r="H20" i="8" s="1"/>
  <c r="I20" i="8" s="1"/>
  <c r="J20" i="8" s="1"/>
  <c r="K20" i="8" s="1"/>
  <c r="L20" i="8" s="1"/>
  <c r="M20" i="8" s="1"/>
  <c r="N20" i="8" s="1"/>
  <c r="O20" i="8" s="1"/>
  <c r="P20" i="8" s="1"/>
  <c r="Q20" i="8" s="1"/>
  <c r="R20" i="8" s="1"/>
  <c r="S20" i="8" s="1"/>
  <c r="T20" i="8" s="1"/>
  <c r="U20" i="8" s="1"/>
  <c r="V20" i="8" s="1"/>
  <c r="C42" i="8"/>
  <c r="C51" i="8"/>
  <c r="J41" i="11"/>
  <c r="J42" i="11"/>
  <c r="L41" i="11"/>
  <c r="L42" i="11"/>
  <c r="G16" i="11"/>
  <c r="H22" i="1"/>
  <c r="H31" i="1"/>
  <c r="H32" i="1"/>
  <c r="I32" i="1" s="1"/>
  <c r="H40" i="1"/>
  <c r="H42" i="1"/>
  <c r="I42" i="1" s="1"/>
  <c r="I60" i="1"/>
  <c r="C23" i="1"/>
  <c r="C33" i="1"/>
  <c r="C43" i="1"/>
  <c r="D32" i="2"/>
  <c r="D44" i="2"/>
  <c r="D72" i="2"/>
  <c r="G8" i="11"/>
  <c r="B5" i="5" s="1"/>
  <c r="G24" i="11"/>
  <c r="G123" i="11"/>
  <c r="E36" i="7"/>
  <c r="J8" i="11"/>
  <c r="L120" i="11"/>
  <c r="L122" i="11"/>
  <c r="B24" i="5"/>
  <c r="AN24" i="5" s="1"/>
  <c r="J57" i="11"/>
  <c r="L96" i="11"/>
  <c r="L97" i="11"/>
  <c r="L98" i="11"/>
  <c r="L99" i="11"/>
  <c r="L100" i="11"/>
  <c r="L102" i="11"/>
  <c r="L105" i="11"/>
  <c r="L106" i="11"/>
  <c r="L65" i="11"/>
  <c r="L66" i="11"/>
  <c r="L67" i="11"/>
  <c r="L68" i="11"/>
  <c r="L69" i="11"/>
  <c r="L70" i="11"/>
  <c r="L71" i="11"/>
  <c r="L72" i="11"/>
  <c r="L73" i="11"/>
  <c r="L78" i="11"/>
  <c r="L79" i="11"/>
  <c r="L80" i="11"/>
  <c r="L81" i="11"/>
  <c r="L82" i="11"/>
  <c r="L83" i="11"/>
  <c r="L84" i="11"/>
  <c r="L85" i="11"/>
  <c r="L88" i="11"/>
  <c r="L89" i="11"/>
  <c r="L90" i="11"/>
  <c r="L91" i="11"/>
  <c r="L92" i="11"/>
  <c r="L93" i="11"/>
  <c r="J99" i="11"/>
  <c r="J105" i="11"/>
  <c r="J106" i="11"/>
  <c r="J66" i="11"/>
  <c r="J67" i="11"/>
  <c r="J69" i="11"/>
  <c r="J70" i="11"/>
  <c r="J71" i="11"/>
  <c r="J72" i="11"/>
  <c r="J73" i="11"/>
  <c r="J88" i="11"/>
  <c r="J89" i="11"/>
  <c r="J90" i="11"/>
  <c r="J91" i="11"/>
  <c r="J92" i="11"/>
  <c r="J93" i="11"/>
  <c r="L60" i="11"/>
  <c r="J60" i="11"/>
  <c r="L59" i="11"/>
  <c r="J59" i="11"/>
  <c r="L58" i="11"/>
  <c r="J58" i="11"/>
  <c r="L56" i="11"/>
  <c r="J56" i="11"/>
  <c r="L55" i="11"/>
  <c r="J55" i="11"/>
  <c r="L54" i="11"/>
  <c r="J54" i="11"/>
  <c r="L53" i="11"/>
  <c r="J53" i="11"/>
  <c r="L52" i="11"/>
  <c r="L51" i="11"/>
  <c r="L50" i="11"/>
  <c r="L49" i="11"/>
  <c r="J49" i="11"/>
  <c r="L48" i="11"/>
  <c r="J48" i="11"/>
  <c r="L47" i="11"/>
  <c r="J47" i="11"/>
  <c r="L14" i="11"/>
  <c r="J14" i="11"/>
  <c r="L13" i="11"/>
  <c r="L23" i="11"/>
  <c r="J23" i="11"/>
  <c r="J20" i="11"/>
  <c r="J19" i="11"/>
  <c r="L18" i="11"/>
  <c r="J18" i="11"/>
  <c r="M51" i="1"/>
  <c r="K51" i="1"/>
  <c r="J51" i="1"/>
  <c r="H51" i="1"/>
  <c r="I51" i="1" s="1"/>
  <c r="M50" i="1"/>
  <c r="K50" i="1"/>
  <c r="J50" i="1"/>
  <c r="H50" i="1"/>
  <c r="I50" i="1" s="1"/>
  <c r="M41" i="1"/>
  <c r="J41" i="1"/>
  <c r="K41" i="1" s="1"/>
  <c r="H41" i="1"/>
  <c r="I41" i="1" s="1"/>
  <c r="M40" i="1"/>
  <c r="J40" i="1"/>
  <c r="K40" i="1" s="1"/>
  <c r="M31" i="1"/>
  <c r="J31" i="1"/>
  <c r="K31" i="1" s="1"/>
  <c r="M22" i="1"/>
  <c r="J22" i="1"/>
  <c r="K22" i="1" s="1"/>
  <c r="M11" i="1"/>
  <c r="K11" i="1"/>
  <c r="J11" i="1"/>
  <c r="H11" i="1"/>
  <c r="I11" i="1" s="1"/>
  <c r="M10" i="1"/>
  <c r="K10" i="1"/>
  <c r="J10" i="1"/>
  <c r="H10" i="1"/>
  <c r="I10" i="1" s="1"/>
  <c r="L36" i="11"/>
  <c r="L35" i="11"/>
  <c r="L29" i="11"/>
  <c r="L7" i="11"/>
  <c r="L5" i="11"/>
  <c r="L46" i="11"/>
  <c r="L44" i="11"/>
  <c r="L43" i="11"/>
  <c r="L40" i="11"/>
  <c r="J36" i="11"/>
  <c r="J29" i="11"/>
  <c r="J46" i="11"/>
  <c r="J44" i="11"/>
  <c r="J43" i="11"/>
  <c r="J40" i="11"/>
  <c r="L117" i="11"/>
  <c r="J117" i="11"/>
  <c r="L27" i="11"/>
  <c r="J27" i="11"/>
  <c r="J45" i="11"/>
  <c r="L45" i="11"/>
  <c r="AN23" i="5"/>
  <c r="B22" i="5"/>
  <c r="A24" i="5"/>
  <c r="A23" i="5"/>
  <c r="A22" i="5"/>
  <c r="J52" i="1"/>
  <c r="J49" i="1"/>
  <c r="K49" i="1"/>
  <c r="J48" i="1"/>
  <c r="J47" i="1"/>
  <c r="J46" i="1"/>
  <c r="J42" i="1"/>
  <c r="K42" i="1"/>
  <c r="J39" i="1"/>
  <c r="K39" i="1" s="1"/>
  <c r="J38" i="1"/>
  <c r="K38" i="1" s="1"/>
  <c r="J37" i="1"/>
  <c r="J36" i="1"/>
  <c r="K36" i="1" s="1"/>
  <c r="J9" i="1"/>
  <c r="K9" i="1"/>
  <c r="J8" i="1"/>
  <c r="J7" i="1"/>
  <c r="J6" i="1"/>
  <c r="J12" i="1"/>
  <c r="J20" i="1"/>
  <c r="K20" i="1" s="1"/>
  <c r="J17" i="1"/>
  <c r="K17" i="1" s="1"/>
  <c r="J16" i="1"/>
  <c r="K16" i="1" s="1"/>
  <c r="J32" i="1"/>
  <c r="K32" i="1" s="1"/>
  <c r="J29" i="1"/>
  <c r="K29" i="1" s="1"/>
  <c r="J28" i="1"/>
  <c r="K28" i="1" s="1"/>
  <c r="J27" i="1"/>
  <c r="K27" i="1"/>
  <c r="J26" i="1"/>
  <c r="M52" i="1"/>
  <c r="K52" i="1"/>
  <c r="M49" i="1"/>
  <c r="M48" i="1"/>
  <c r="K48" i="1"/>
  <c r="M47" i="1"/>
  <c r="K47" i="1"/>
  <c r="M46" i="1"/>
  <c r="K46" i="1"/>
  <c r="M42" i="1"/>
  <c r="M39" i="1"/>
  <c r="M38" i="1"/>
  <c r="M37" i="1"/>
  <c r="K37" i="1"/>
  <c r="M36" i="1"/>
  <c r="K26" i="1"/>
  <c r="K12" i="1"/>
  <c r="K8" i="1"/>
  <c r="K7" i="1"/>
  <c r="K6" i="1"/>
  <c r="H6" i="1"/>
  <c r="I6" i="1" s="1"/>
  <c r="M6" i="1"/>
  <c r="H36" i="1"/>
  <c r="I36" i="1" s="1"/>
  <c r="H7" i="1"/>
  <c r="I7" i="1" s="1"/>
  <c r="M7" i="1"/>
  <c r="H37" i="1"/>
  <c r="I37" i="1" s="1"/>
  <c r="H8" i="1"/>
  <c r="I8" i="1" s="1"/>
  <c r="M8" i="1"/>
  <c r="H38" i="1"/>
  <c r="I38" i="1" s="1"/>
  <c r="H9" i="1"/>
  <c r="I9" i="1" s="1"/>
  <c r="M9" i="1"/>
  <c r="H39" i="1"/>
  <c r="I39" i="1" s="1"/>
  <c r="H12" i="1"/>
  <c r="I12" i="1" s="1"/>
  <c r="M12" i="1"/>
  <c r="C13" i="1"/>
  <c r="M16" i="1"/>
  <c r="H46" i="1"/>
  <c r="I46" i="1" s="1"/>
  <c r="H47" i="1"/>
  <c r="I47" i="1" s="1"/>
  <c r="H17" i="1"/>
  <c r="I17" i="1" s="1"/>
  <c r="M17" i="1"/>
  <c r="H48" i="1"/>
  <c r="I48" i="1" s="1"/>
  <c r="H20" i="1"/>
  <c r="I20" i="1" s="1"/>
  <c r="M20" i="1"/>
  <c r="H49" i="1"/>
  <c r="I49" i="1" s="1"/>
  <c r="H52" i="1"/>
  <c r="I52" i="1" s="1"/>
  <c r="C53" i="1"/>
  <c r="H26" i="1"/>
  <c r="I26" i="1" s="1"/>
  <c r="M26" i="1"/>
  <c r="H27" i="1"/>
  <c r="I27" i="1" s="1"/>
  <c r="M27" i="1"/>
  <c r="H28" i="1"/>
  <c r="I28" i="1" s="1"/>
  <c r="M28" i="1"/>
  <c r="H29" i="1"/>
  <c r="I29" i="1" s="1"/>
  <c r="M29" i="1"/>
  <c r="M32" i="1"/>
  <c r="I61" i="1"/>
  <c r="I62" i="1"/>
  <c r="I63" i="1"/>
  <c r="D4" i="5"/>
  <c r="E4" i="5" s="1"/>
  <c r="F4" i="5" s="1"/>
  <c r="G4" i="5" s="1"/>
  <c r="H4" i="5" s="1"/>
  <c r="I4" i="5" s="1"/>
  <c r="J4" i="5" s="1"/>
  <c r="K4" i="5" s="1"/>
  <c r="L4" i="5" s="1"/>
  <c r="M4" i="5" s="1"/>
  <c r="N4" i="5" s="1"/>
  <c r="O4" i="5" s="1"/>
  <c r="P4" i="5" s="1"/>
  <c r="Q4" i="5" s="1"/>
  <c r="R4" i="5" s="1"/>
  <c r="S4" i="5" s="1"/>
  <c r="T4" i="5" s="1"/>
  <c r="U4" i="5" s="1"/>
  <c r="V4" i="5" s="1"/>
  <c r="A17" i="5"/>
  <c r="A18" i="5"/>
  <c r="A19" i="5"/>
  <c r="A20" i="5"/>
  <c r="B20" i="5"/>
  <c r="A21" i="5"/>
  <c r="B21" i="5"/>
  <c r="H16" i="1"/>
  <c r="I16" i="1" s="1"/>
  <c r="B19" i="5"/>
  <c r="AN19" i="5" s="1"/>
  <c r="AN6" i="5"/>
  <c r="E45" i="7"/>
  <c r="W4" i="5" l="1"/>
  <c r="X4" i="5" s="1"/>
  <c r="Y4" i="5" s="1"/>
  <c r="Z4" i="5" s="1"/>
  <c r="AA4" i="5" s="1"/>
  <c r="AB4" i="5" s="1"/>
  <c r="AC4" i="5" s="1"/>
  <c r="AD4" i="5" s="1"/>
  <c r="AE4" i="5" s="1"/>
  <c r="AF4" i="5" s="1"/>
  <c r="AG4" i="5" s="1"/>
  <c r="AH4" i="5" s="1"/>
  <c r="AI4" i="5" s="1"/>
  <c r="B28" i="14"/>
  <c r="G22" i="7"/>
  <c r="C22" i="7"/>
  <c r="M53" i="1"/>
  <c r="C17" i="8"/>
  <c r="D17" i="8" s="1"/>
  <c r="E17" i="8" s="1"/>
  <c r="F17" i="8" s="1"/>
  <c r="G17" i="8" s="1"/>
  <c r="H17" i="8" s="1"/>
  <c r="I17" i="8" s="1"/>
  <c r="J17" i="8" s="1"/>
  <c r="K17" i="8" s="1"/>
  <c r="L17" i="8" s="1"/>
  <c r="M17" i="8" s="1"/>
  <c r="N17" i="8" s="1"/>
  <c r="O17" i="8" s="1"/>
  <c r="P17" i="8" s="1"/>
  <c r="Q17" i="8" s="1"/>
  <c r="R17" i="8" s="1"/>
  <c r="S17" i="8" s="1"/>
  <c r="T17" i="8" s="1"/>
  <c r="U17" i="8" s="1"/>
  <c r="V17" i="8" s="1"/>
  <c r="C16" i="8"/>
  <c r="D16" i="8" s="1"/>
  <c r="E16" i="8" s="1"/>
  <c r="F16" i="8" s="1"/>
  <c r="G16" i="8" s="1"/>
  <c r="H16" i="8" s="1"/>
  <c r="I16" i="8" s="1"/>
  <c r="J16" i="8" s="1"/>
  <c r="K16" i="8" s="1"/>
  <c r="L16" i="8" s="1"/>
  <c r="M16" i="8" s="1"/>
  <c r="N16" i="8" s="1"/>
  <c r="O16" i="8" s="1"/>
  <c r="P16" i="8" s="1"/>
  <c r="Q16" i="8" s="1"/>
  <c r="R16" i="8" s="1"/>
  <c r="S16" i="8" s="1"/>
  <c r="T16" i="8" s="1"/>
  <c r="U16" i="8" s="1"/>
  <c r="V16" i="8" s="1"/>
  <c r="C22" i="8"/>
  <c r="D22" i="8" s="1"/>
  <c r="E22" i="8" s="1"/>
  <c r="F22" i="8" s="1"/>
  <c r="G22" i="8" s="1"/>
  <c r="H22" i="8" s="1"/>
  <c r="I22" i="8" s="1"/>
  <c r="J22" i="8" s="1"/>
  <c r="K22" i="8" s="1"/>
  <c r="L22" i="8" s="1"/>
  <c r="M22" i="8" s="1"/>
  <c r="N22" i="8" s="1"/>
  <c r="O22" i="8" s="1"/>
  <c r="P22" i="8" s="1"/>
  <c r="Q22" i="8" s="1"/>
  <c r="R22" i="8" s="1"/>
  <c r="S22" i="8" s="1"/>
  <c r="T22" i="8" s="1"/>
  <c r="U22" i="8" s="1"/>
  <c r="V22" i="8" s="1"/>
  <c r="C129" i="11"/>
  <c r="B12" i="5"/>
  <c r="AO12" i="5" s="1"/>
  <c r="E35" i="7"/>
  <c r="M43" i="1"/>
  <c r="M13" i="1"/>
  <c r="H15" i="7"/>
  <c r="H17" i="7"/>
  <c r="F22" i="7"/>
  <c r="H16" i="7"/>
  <c r="I13" i="1"/>
  <c r="I53" i="1"/>
  <c r="M23" i="1"/>
  <c r="H13" i="1"/>
  <c r="H43" i="1"/>
  <c r="H23" i="1"/>
  <c r="H53" i="1"/>
  <c r="J123" i="11"/>
  <c r="B17" i="5"/>
  <c r="L77" i="11"/>
  <c r="E38" i="7"/>
  <c r="M33" i="1"/>
  <c r="H18" i="7"/>
  <c r="H33" i="1"/>
  <c r="AP6" i="5"/>
  <c r="L123" i="11"/>
  <c r="E41" i="7"/>
  <c r="I52" i="7" s="1"/>
  <c r="J107" i="11"/>
  <c r="J61" i="11"/>
  <c r="L61" i="11"/>
  <c r="L8" i="11"/>
  <c r="I40" i="1"/>
  <c r="I43" i="1" s="1"/>
  <c r="I31" i="1"/>
  <c r="C56" i="1"/>
  <c r="H121" i="11" s="1"/>
  <c r="E22" i="7"/>
  <c r="I22" i="1"/>
  <c r="I23" i="1" s="1"/>
  <c r="H20" i="7"/>
  <c r="H21" i="7"/>
  <c r="AP19" i="5"/>
  <c r="AP24" i="5"/>
  <c r="D22" i="7"/>
  <c r="AN12" i="5"/>
  <c r="C9" i="12"/>
  <c r="AN5" i="5"/>
  <c r="AO5" i="5" s="1"/>
  <c r="F30" i="11"/>
  <c r="D53" i="2"/>
  <c r="G31" i="11" l="1"/>
  <c r="H31" i="11" s="1"/>
  <c r="G33" i="11"/>
  <c r="G32" i="11"/>
  <c r="F43" i="11"/>
  <c r="F41" i="11"/>
  <c r="AJ4" i="5"/>
  <c r="AK4" i="5" s="1"/>
  <c r="AL4" i="5" s="1"/>
  <c r="AM4" i="5" s="1"/>
  <c r="D15" i="14"/>
  <c r="D16" i="14"/>
  <c r="D17" i="14"/>
  <c r="D18" i="14"/>
  <c r="D19" i="14"/>
  <c r="D20" i="14"/>
  <c r="D21" i="14"/>
  <c r="D22" i="14"/>
  <c r="D23" i="14"/>
  <c r="D24" i="14"/>
  <c r="D25" i="14"/>
  <c r="D26" i="14"/>
  <c r="D27" i="14"/>
  <c r="B29" i="14"/>
  <c r="D28" i="14"/>
  <c r="H15" i="11"/>
  <c r="H22" i="11"/>
  <c r="H6" i="11"/>
  <c r="H23" i="11"/>
  <c r="H21" i="11"/>
  <c r="H20" i="11"/>
  <c r="E85" i="2"/>
  <c r="H40" i="11"/>
  <c r="C5" i="12"/>
  <c r="AP5" i="5"/>
  <c r="H44" i="11"/>
  <c r="H42" i="11"/>
  <c r="E43" i="2"/>
  <c r="M56" i="1"/>
  <c r="H28" i="7" s="1"/>
  <c r="H29" i="7" s="1"/>
  <c r="E69" i="2"/>
  <c r="H56" i="1"/>
  <c r="F50" i="7"/>
  <c r="F36" i="7"/>
  <c r="H103" i="11"/>
  <c r="H53" i="11"/>
  <c r="H89" i="11"/>
  <c r="H54" i="11"/>
  <c r="H101" i="11"/>
  <c r="H76" i="11"/>
  <c r="F35" i="7"/>
  <c r="E49" i="2"/>
  <c r="E19" i="2"/>
  <c r="H58" i="11"/>
  <c r="L76" i="11"/>
  <c r="L107" i="11" s="1"/>
  <c r="G107" i="11"/>
  <c r="H107" i="11" s="1"/>
  <c r="I33" i="1"/>
  <c r="I56" i="1" s="1"/>
  <c r="H65" i="11"/>
  <c r="H72" i="11"/>
  <c r="H79" i="11"/>
  <c r="H73" i="11"/>
  <c r="E55" i="2"/>
  <c r="H71" i="11"/>
  <c r="E47" i="2"/>
  <c r="F48" i="7"/>
  <c r="H18" i="11"/>
  <c r="E35" i="2"/>
  <c r="E71" i="2"/>
  <c r="F38" i="7"/>
  <c r="H28" i="11"/>
  <c r="H115" i="11"/>
  <c r="H33" i="11"/>
  <c r="H81" i="11"/>
  <c r="H112" i="11"/>
  <c r="E18" i="2"/>
  <c r="H88" i="11"/>
  <c r="E30" i="2"/>
  <c r="E64" i="2"/>
  <c r="E14" i="2"/>
  <c r="D59" i="2"/>
  <c r="C7" i="14" s="1"/>
  <c r="F49" i="7"/>
  <c r="H10" i="11"/>
  <c r="H114" i="11"/>
  <c r="H102" i="11"/>
  <c r="E68" i="2"/>
  <c r="H106" i="11"/>
  <c r="E65" i="2"/>
  <c r="E15" i="2"/>
  <c r="H41" i="11"/>
  <c r="E48" i="2"/>
  <c r="H47" i="11"/>
  <c r="H91" i="11"/>
  <c r="E22" i="2"/>
  <c r="E44" i="2"/>
  <c r="E52" i="2"/>
  <c r="E70" i="2"/>
  <c r="H93" i="11"/>
  <c r="E63" i="2"/>
  <c r="H27" i="11"/>
  <c r="H57" i="11"/>
  <c r="F52" i="7"/>
  <c r="H46" i="11"/>
  <c r="H51" i="11"/>
  <c r="H111" i="11"/>
  <c r="H35" i="11"/>
  <c r="H61" i="11"/>
  <c r="E50" i="2"/>
  <c r="E16" i="2"/>
  <c r="F47" i="7"/>
  <c r="H14" i="11"/>
  <c r="E41" i="2"/>
  <c r="H77" i="11"/>
  <c r="F41" i="7"/>
  <c r="E51" i="2"/>
  <c r="E66" i="2"/>
  <c r="H55" i="11"/>
  <c r="H45" i="11"/>
  <c r="E28" i="2"/>
  <c r="H66" i="11"/>
  <c r="H19" i="11"/>
  <c r="H60" i="11"/>
  <c r="E62" i="2"/>
  <c r="H96" i="11"/>
  <c r="E31" i="2"/>
  <c r="H70" i="11"/>
  <c r="H69" i="11"/>
  <c r="F45" i="7"/>
  <c r="H83" i="11"/>
  <c r="H97" i="11"/>
  <c r="H49" i="11"/>
  <c r="H13" i="11"/>
  <c r="E36" i="2"/>
  <c r="E17" i="2"/>
  <c r="H36" i="11"/>
  <c r="H68" i="11"/>
  <c r="H99" i="11"/>
  <c r="H84" i="11"/>
  <c r="H85" i="11"/>
  <c r="H59" i="11"/>
  <c r="E57" i="2"/>
  <c r="H90" i="11"/>
  <c r="H105" i="11"/>
  <c r="E42" i="2"/>
  <c r="H48" i="11"/>
  <c r="H29" i="11"/>
  <c r="H82" i="11"/>
  <c r="H122" i="11"/>
  <c r="H100" i="11"/>
  <c r="H104" i="11"/>
  <c r="C4" i="12"/>
  <c r="H78" i="11"/>
  <c r="H52" i="11"/>
  <c r="E29" i="2"/>
  <c r="E20" i="2"/>
  <c r="H110" i="11"/>
  <c r="H98" i="11"/>
  <c r="E37" i="2"/>
  <c r="H22" i="7"/>
  <c r="H23" i="7" s="1"/>
  <c r="H5" i="11"/>
  <c r="H123" i="11"/>
  <c r="H50" i="11"/>
  <c r="H92" i="11"/>
  <c r="H56" i="11"/>
  <c r="E67" i="2"/>
  <c r="H7" i="11"/>
  <c r="H8" i="11"/>
  <c r="H120" i="11"/>
  <c r="H43" i="11"/>
  <c r="E38" i="2"/>
  <c r="E39" i="2"/>
  <c r="E40" i="2"/>
  <c r="H34" i="11"/>
  <c r="E72" i="2"/>
  <c r="H80" i="11"/>
  <c r="H67" i="11"/>
  <c r="H32" i="11"/>
  <c r="E32" i="2"/>
  <c r="C25" i="5"/>
  <c r="AN22" i="5"/>
  <c r="AN20" i="5"/>
  <c r="AN21" i="5"/>
  <c r="E32" i="11"/>
  <c r="E33" i="11"/>
  <c r="E34" i="11"/>
  <c r="AN8" i="5"/>
  <c r="AN9" i="5"/>
  <c r="AP12" i="5"/>
  <c r="C18" i="8"/>
  <c r="D18" i="8" s="1"/>
  <c r="E18" i="8" s="1"/>
  <c r="F18" i="8" s="1"/>
  <c r="G18" i="8" s="1"/>
  <c r="H18" i="8" s="1"/>
  <c r="I18" i="8" s="1"/>
  <c r="J18" i="8" s="1"/>
  <c r="K18" i="8" s="1"/>
  <c r="L18" i="8" s="1"/>
  <c r="M18" i="8" s="1"/>
  <c r="N18" i="8" s="1"/>
  <c r="O18" i="8" s="1"/>
  <c r="P18" i="8" s="1"/>
  <c r="Q18" i="8" s="1"/>
  <c r="R18" i="8" s="1"/>
  <c r="S18" i="8" s="1"/>
  <c r="T18" i="8" s="1"/>
  <c r="U18" i="8" s="1"/>
  <c r="V18" i="8" s="1"/>
  <c r="E53" i="2"/>
  <c r="E31" i="11" l="1"/>
  <c r="J32" i="11"/>
  <c r="L32" i="11"/>
  <c r="J33" i="11"/>
  <c r="L33" i="11"/>
  <c r="C33" i="11"/>
  <c r="J31" i="11"/>
  <c r="J37" i="11" s="1"/>
  <c r="J125" i="11" s="1"/>
  <c r="C11" i="12" s="1"/>
  <c r="C10" i="12" s="1"/>
  <c r="L31" i="11"/>
  <c r="L37" i="11" s="1"/>
  <c r="L125" i="11" s="1"/>
  <c r="G37" i="11"/>
  <c r="B30" i="14"/>
  <c r="D29" i="14"/>
  <c r="H57" i="1"/>
  <c r="H25" i="7" s="1"/>
  <c r="C5" i="14"/>
  <c r="C6" i="12"/>
  <c r="C7" i="12" s="1"/>
  <c r="C18" i="12" s="1"/>
  <c r="C37" i="11"/>
  <c r="C21" i="8"/>
  <c r="D21" i="8" s="1"/>
  <c r="E21" i="8" s="1"/>
  <c r="F21" i="8" s="1"/>
  <c r="G21" i="8" s="1"/>
  <c r="H21" i="8" s="1"/>
  <c r="I21" i="8" s="1"/>
  <c r="J21" i="8" s="1"/>
  <c r="K21" i="8" s="1"/>
  <c r="L21" i="8" s="1"/>
  <c r="M21" i="8" s="1"/>
  <c r="N21" i="8" s="1"/>
  <c r="O21" i="8" s="1"/>
  <c r="P21" i="8" s="1"/>
  <c r="Q21" i="8" s="1"/>
  <c r="R21" i="8" s="1"/>
  <c r="S21" i="8" s="1"/>
  <c r="T21" i="8" s="1"/>
  <c r="U21" i="8" s="1"/>
  <c r="V21" i="8" s="1"/>
  <c r="H65" i="1"/>
  <c r="I64" i="1"/>
  <c r="I65" i="1" s="1"/>
  <c r="I66" i="1" s="1"/>
  <c r="H116" i="11"/>
  <c r="C6" i="8"/>
  <c r="E39" i="7"/>
  <c r="F39" i="7" s="1"/>
  <c r="B9" i="5"/>
  <c r="D5" i="2"/>
  <c r="I57" i="1"/>
  <c r="AP20" i="5"/>
  <c r="AP21" i="5"/>
  <c r="AP22" i="5"/>
  <c r="AN7" i="5"/>
  <c r="C13" i="5"/>
  <c r="C28" i="5" s="1"/>
  <c r="AP8" i="5"/>
  <c r="AP9" i="5" l="1"/>
  <c r="AO9" i="5"/>
  <c r="B7" i="5"/>
  <c r="H37" i="11"/>
  <c r="E37" i="7"/>
  <c r="C30" i="5"/>
  <c r="C33" i="5" s="1"/>
  <c r="C29" i="5"/>
  <c r="E29" i="14"/>
  <c r="E15" i="14"/>
  <c r="E16" i="14"/>
  <c r="E17" i="14"/>
  <c r="E18" i="14"/>
  <c r="E19" i="14"/>
  <c r="E20" i="14"/>
  <c r="E21" i="14"/>
  <c r="E22" i="14"/>
  <c r="E23" i="14"/>
  <c r="E24" i="14"/>
  <c r="E25" i="14"/>
  <c r="E26" i="14"/>
  <c r="E27" i="14"/>
  <c r="B31" i="14"/>
  <c r="D30" i="14"/>
  <c r="E30" i="14" s="1"/>
  <c r="E28" i="14"/>
  <c r="C19" i="12"/>
  <c r="C20" i="12" s="1"/>
  <c r="C21" i="12" s="1"/>
  <c r="C26" i="12" s="1"/>
  <c r="E5" i="2"/>
  <c r="D25" i="7"/>
  <c r="E25" i="7" s="1"/>
  <c r="D6" i="2"/>
  <c r="D26" i="7" s="1"/>
  <c r="E26" i="7" s="1"/>
  <c r="D23" i="2"/>
  <c r="E21" i="2"/>
  <c r="D6" i="8"/>
  <c r="AP7" i="5" l="1"/>
  <c r="AO7" i="5"/>
  <c r="F37" i="7"/>
  <c r="H37" i="7"/>
  <c r="D7" i="2"/>
  <c r="E7" i="2" s="1"/>
  <c r="B32" i="14"/>
  <c r="D31" i="14"/>
  <c r="E31" i="14" s="1"/>
  <c r="D27" i="12"/>
  <c r="E46" i="7"/>
  <c r="C7" i="8"/>
  <c r="E6" i="2"/>
  <c r="C14" i="8"/>
  <c r="D14" i="8" s="1"/>
  <c r="E14" i="8" s="1"/>
  <c r="F14" i="8" s="1"/>
  <c r="G14" i="8" s="1"/>
  <c r="H14" i="8" s="1"/>
  <c r="I14" i="8" s="1"/>
  <c r="E23" i="2"/>
  <c r="C31" i="5"/>
  <c r="D16" i="5"/>
  <c r="D25" i="5" s="1"/>
  <c r="E6" i="8"/>
  <c r="D10" i="5" l="1"/>
  <c r="D13" i="5" s="1"/>
  <c r="D8" i="2"/>
  <c r="D9" i="2" s="1"/>
  <c r="F85" i="2" s="1"/>
  <c r="B33" i="14"/>
  <c r="D32" i="14"/>
  <c r="E32" i="14" s="1"/>
  <c r="B18" i="5"/>
  <c r="AO18" i="5" s="1"/>
  <c r="F46" i="7"/>
  <c r="D7" i="8"/>
  <c r="C8" i="8"/>
  <c r="C9" i="8" s="1"/>
  <c r="F6" i="8"/>
  <c r="J14" i="8"/>
  <c r="D28" i="5" l="1"/>
  <c r="D27" i="7"/>
  <c r="E8" i="2"/>
  <c r="B34" i="14"/>
  <c r="D33" i="14"/>
  <c r="E33" i="14" s="1"/>
  <c r="C15" i="8"/>
  <c r="D15" i="8" s="1"/>
  <c r="E15" i="8" s="1"/>
  <c r="F15" i="8" s="1"/>
  <c r="G15" i="8" s="1"/>
  <c r="H15" i="8" s="1"/>
  <c r="I15" i="8" s="1"/>
  <c r="J15" i="8" s="1"/>
  <c r="K15" i="8" s="1"/>
  <c r="L15" i="8" s="1"/>
  <c r="M15" i="8" s="1"/>
  <c r="N15" i="8" s="1"/>
  <c r="O15" i="8" s="1"/>
  <c r="P15" i="8" s="1"/>
  <c r="Q15" i="8" s="1"/>
  <c r="R15" i="8" s="1"/>
  <c r="S15" i="8" s="1"/>
  <c r="T15" i="8" s="1"/>
  <c r="U15" i="8" s="1"/>
  <c r="V15" i="8" s="1"/>
  <c r="C10" i="8"/>
  <c r="E7" i="8"/>
  <c r="D8" i="8"/>
  <c r="D9" i="8" s="1"/>
  <c r="D10" i="8" s="1"/>
  <c r="F44" i="2"/>
  <c r="F9" i="2"/>
  <c r="F59" i="2"/>
  <c r="F72" i="2"/>
  <c r="E9" i="2"/>
  <c r="F55" i="2"/>
  <c r="F23" i="2"/>
  <c r="F53" i="2"/>
  <c r="D25" i="2"/>
  <c r="F32" i="2"/>
  <c r="F57" i="2"/>
  <c r="G6" i="8"/>
  <c r="K14" i="8"/>
  <c r="D30" i="5" l="1"/>
  <c r="D29" i="5"/>
  <c r="B35" i="14"/>
  <c r="D34" i="14"/>
  <c r="E34" i="14" s="1"/>
  <c r="C23" i="8"/>
  <c r="C26" i="8" s="1"/>
  <c r="F7" i="8"/>
  <c r="E8" i="8"/>
  <c r="E9" i="8" s="1"/>
  <c r="E10" i="8" s="1"/>
  <c r="D74" i="2"/>
  <c r="E25" i="2"/>
  <c r="D23" i="8"/>
  <c r="H6" i="8"/>
  <c r="L14" i="8"/>
  <c r="D33" i="5" l="1"/>
  <c r="E16" i="5" s="1"/>
  <c r="E25" i="5" s="1"/>
  <c r="D31" i="5"/>
  <c r="C111" i="11"/>
  <c r="C110" i="11"/>
  <c r="B36" i="14"/>
  <c r="D35" i="14"/>
  <c r="E35" i="14" s="1"/>
  <c r="C6" i="14"/>
  <c r="F35" i="14" s="1"/>
  <c r="C24" i="8"/>
  <c r="D28" i="7"/>
  <c r="E28" i="7" s="1"/>
  <c r="D76" i="2"/>
  <c r="D29" i="7" s="1"/>
  <c r="E29" i="7" s="1"/>
  <c r="E74" i="2"/>
  <c r="E76" i="2" s="1"/>
  <c r="F74" i="2"/>
  <c r="G7" i="8"/>
  <c r="F8" i="8"/>
  <c r="F9" i="8" s="1"/>
  <c r="F10" i="8" s="1"/>
  <c r="I6" i="8"/>
  <c r="E23" i="8"/>
  <c r="D24" i="8"/>
  <c r="D26" i="8"/>
  <c r="C27" i="8"/>
  <c r="C32" i="8"/>
  <c r="C30" i="8"/>
  <c r="M14" i="8"/>
  <c r="E10" i="5" l="1"/>
  <c r="E13" i="5" s="1"/>
  <c r="E28" i="5" s="1"/>
  <c r="G35" i="14"/>
  <c r="H35" i="14" s="1"/>
  <c r="I35" i="14" s="1"/>
  <c r="B37" i="14"/>
  <c r="D36" i="14"/>
  <c r="E36" i="14" s="1"/>
  <c r="G36" i="14" s="1"/>
  <c r="F36" i="14"/>
  <c r="F15" i="14"/>
  <c r="F16" i="14"/>
  <c r="F17" i="14"/>
  <c r="F18" i="14"/>
  <c r="F19" i="14"/>
  <c r="F20" i="14"/>
  <c r="F21" i="14"/>
  <c r="F22" i="14"/>
  <c r="F23" i="14"/>
  <c r="F24" i="14"/>
  <c r="F25" i="14"/>
  <c r="F26" i="14"/>
  <c r="F27" i="14"/>
  <c r="F28" i="14"/>
  <c r="F29" i="14"/>
  <c r="G29" i="14"/>
  <c r="F30" i="14"/>
  <c r="G30" i="14"/>
  <c r="G26" i="14"/>
  <c r="G15" i="14"/>
  <c r="G18" i="14"/>
  <c r="G25" i="14"/>
  <c r="F31" i="14"/>
  <c r="G24" i="14"/>
  <c r="G22" i="14"/>
  <c r="G16" i="14"/>
  <c r="H16" i="14" s="1"/>
  <c r="I16" i="14" s="1"/>
  <c r="G27" i="14"/>
  <c r="G19" i="14"/>
  <c r="G21" i="14"/>
  <c r="G28" i="14"/>
  <c r="H28" i="14" s="1"/>
  <c r="I28" i="14" s="1"/>
  <c r="G20" i="14"/>
  <c r="G17" i="14"/>
  <c r="G23" i="14"/>
  <c r="H23" i="14" s="1"/>
  <c r="I23" i="14" s="1"/>
  <c r="G31" i="14"/>
  <c r="F32" i="14"/>
  <c r="G32" i="14"/>
  <c r="F33" i="14"/>
  <c r="G33" i="14"/>
  <c r="F34" i="14"/>
  <c r="G34" i="14"/>
  <c r="F76" i="2"/>
  <c r="D80" i="2"/>
  <c r="D88" i="2"/>
  <c r="E88" i="2" s="1"/>
  <c r="H7" i="8"/>
  <c r="G8" i="8"/>
  <c r="G9" i="8" s="1"/>
  <c r="G10" i="8" s="1"/>
  <c r="C35" i="8"/>
  <c r="C37" i="8"/>
  <c r="C33" i="8"/>
  <c r="C62" i="8"/>
  <c r="E24" i="8"/>
  <c r="E26" i="8"/>
  <c r="F23" i="8"/>
  <c r="J6" i="8"/>
  <c r="D27" i="8"/>
  <c r="D32" i="8"/>
  <c r="D30" i="8"/>
  <c r="N14" i="8"/>
  <c r="H30" i="14" l="1"/>
  <c r="I30" i="14" s="1"/>
  <c r="E30" i="5"/>
  <c r="E33" i="5" s="1"/>
  <c r="E29" i="5"/>
  <c r="E31" i="5" s="1"/>
  <c r="C43" i="8"/>
  <c r="C46" i="8" s="1"/>
  <c r="H31" i="14"/>
  <c r="I31" i="14" s="1"/>
  <c r="H22" i="14"/>
  <c r="I22" i="14" s="1"/>
  <c r="H36" i="14"/>
  <c r="I36" i="14" s="1"/>
  <c r="H33" i="14"/>
  <c r="I33" i="14" s="1"/>
  <c r="H34" i="14"/>
  <c r="I34" i="14" s="1"/>
  <c r="H17" i="14"/>
  <c r="I17" i="14" s="1"/>
  <c r="H25" i="14"/>
  <c r="I25" i="14" s="1"/>
  <c r="H18" i="14"/>
  <c r="I18" i="14" s="1"/>
  <c r="H19" i="14"/>
  <c r="I19" i="14" s="1"/>
  <c r="H29" i="14"/>
  <c r="I29" i="14" s="1"/>
  <c r="H32" i="14"/>
  <c r="I32" i="14" s="1"/>
  <c r="H21" i="14"/>
  <c r="I21" i="14" s="1"/>
  <c r="H24" i="14"/>
  <c r="I24" i="14" s="1"/>
  <c r="H20" i="14"/>
  <c r="I20" i="14" s="1"/>
  <c r="B38" i="14"/>
  <c r="D37" i="14"/>
  <c r="E37" i="14" s="1"/>
  <c r="G37" i="14" s="1"/>
  <c r="F37" i="14"/>
  <c r="H15" i="14"/>
  <c r="I15" i="14" s="1"/>
  <c r="H27" i="14"/>
  <c r="I27" i="14" s="1"/>
  <c r="H26" i="14"/>
  <c r="I26" i="14" s="1"/>
  <c r="F88" i="2"/>
  <c r="D31" i="7"/>
  <c r="E31" i="7" s="1"/>
  <c r="D35" i="8"/>
  <c r="I7" i="8"/>
  <c r="H8" i="8"/>
  <c r="H9" i="8" s="1"/>
  <c r="H10" i="8" s="1"/>
  <c r="E27" i="8"/>
  <c r="E30" i="8"/>
  <c r="E32" i="8"/>
  <c r="G23" i="8"/>
  <c r="K6" i="8"/>
  <c r="F24" i="8"/>
  <c r="F26" i="8"/>
  <c r="D33" i="8"/>
  <c r="D37" i="8"/>
  <c r="D62" i="8"/>
  <c r="O14" i="8"/>
  <c r="F16" i="5" l="1"/>
  <c r="F25" i="5" s="1"/>
  <c r="F10" i="5"/>
  <c r="F13" i="5" s="1"/>
  <c r="C44" i="8"/>
  <c r="D42" i="8" s="1"/>
  <c r="D43" i="8" s="1"/>
  <c r="D44" i="8" s="1"/>
  <c r="E42" i="8" s="1"/>
  <c r="H37" i="14"/>
  <c r="I37" i="14" s="1"/>
  <c r="B39" i="14"/>
  <c r="D39" i="14" s="1"/>
  <c r="F38" i="14"/>
  <c r="D38" i="14"/>
  <c r="E38" i="14" s="1"/>
  <c r="G38" i="14" s="1"/>
  <c r="J7" i="8"/>
  <c r="I8" i="8"/>
  <c r="I9" i="8" s="1"/>
  <c r="I10" i="8" s="1"/>
  <c r="E35" i="8"/>
  <c r="F32" i="8"/>
  <c r="F27" i="8"/>
  <c r="F30" i="8"/>
  <c r="G24" i="8"/>
  <c r="G26" i="8"/>
  <c r="H23" i="8"/>
  <c r="E37" i="8"/>
  <c r="E62" i="8"/>
  <c r="E33" i="8"/>
  <c r="L6" i="8"/>
  <c r="P14" i="8"/>
  <c r="F28" i="5" l="1"/>
  <c r="E43" i="8"/>
  <c r="E46" i="8" s="1"/>
  <c r="D46" i="8"/>
  <c r="H38" i="14"/>
  <c r="I38" i="14" s="1"/>
  <c r="B40" i="14"/>
  <c r="I39" i="14"/>
  <c r="G39" i="14"/>
  <c r="F39" i="14"/>
  <c r="E39" i="14"/>
  <c r="F35" i="8"/>
  <c r="K7" i="8"/>
  <c r="J8" i="8"/>
  <c r="J9" i="8" s="1"/>
  <c r="J10" i="8" s="1"/>
  <c r="G30" i="8"/>
  <c r="G32" i="8"/>
  <c r="G27" i="8"/>
  <c r="H24" i="8"/>
  <c r="H26" i="8"/>
  <c r="M6" i="8"/>
  <c r="I23" i="8"/>
  <c r="F62" i="8"/>
  <c r="F33" i="8"/>
  <c r="F37" i="8"/>
  <c r="C52" i="8"/>
  <c r="C58" i="8" s="1"/>
  <c r="Q14" i="8"/>
  <c r="F30" i="5" l="1"/>
  <c r="F33" i="5" s="1"/>
  <c r="G16" i="5" s="1"/>
  <c r="G25" i="5" s="1"/>
  <c r="F29" i="5"/>
  <c r="H39" i="14"/>
  <c r="B41" i="14"/>
  <c r="I40" i="14"/>
  <c r="G40" i="14"/>
  <c r="F40" i="14"/>
  <c r="E40" i="14"/>
  <c r="D40" i="14"/>
  <c r="L7" i="8"/>
  <c r="K8" i="8"/>
  <c r="K9" i="8" s="1"/>
  <c r="K10" i="8" s="1"/>
  <c r="G35" i="8"/>
  <c r="E44" i="8"/>
  <c r="F42" i="8" s="1"/>
  <c r="N6" i="8"/>
  <c r="H27" i="8"/>
  <c r="H32" i="8"/>
  <c r="H30" i="8"/>
  <c r="G62" i="8"/>
  <c r="G33" i="8"/>
  <c r="G37" i="8"/>
  <c r="J23" i="8"/>
  <c r="C53" i="8"/>
  <c r="C54" i="8" s="1"/>
  <c r="D50" i="8" s="1"/>
  <c r="I24" i="8"/>
  <c r="I26" i="8"/>
  <c r="R14" i="8"/>
  <c r="F31" i="5" l="1"/>
  <c r="G10" i="5" s="1"/>
  <c r="G13" i="5" s="1"/>
  <c r="G28" i="5" s="1"/>
  <c r="F43" i="8"/>
  <c r="F46" i="8" s="1"/>
  <c r="H40" i="14"/>
  <c r="B42" i="14"/>
  <c r="D41" i="14"/>
  <c r="F41" i="14"/>
  <c r="I41" i="14"/>
  <c r="E41" i="14"/>
  <c r="G41" i="14"/>
  <c r="M7" i="8"/>
  <c r="L8" i="8"/>
  <c r="L9" i="8" s="1"/>
  <c r="L10" i="8" s="1"/>
  <c r="H35" i="8"/>
  <c r="C55" i="8"/>
  <c r="C56" i="8" s="1"/>
  <c r="D49" i="8" s="1"/>
  <c r="D51" i="8" s="1"/>
  <c r="D52" i="8" s="1"/>
  <c r="D53" i="8" s="1"/>
  <c r="D54" i="8" s="1"/>
  <c r="E50" i="8" s="1"/>
  <c r="K23" i="8"/>
  <c r="I32" i="8"/>
  <c r="I27" i="8"/>
  <c r="I30" i="8"/>
  <c r="H37" i="8"/>
  <c r="H62" i="8"/>
  <c r="H33" i="8"/>
  <c r="O6" i="8"/>
  <c r="J24" i="8"/>
  <c r="J26" i="8"/>
  <c r="S14" i="8"/>
  <c r="G30" i="5" l="1"/>
  <c r="G33" i="5" s="1"/>
  <c r="G29" i="5"/>
  <c r="F44" i="8"/>
  <c r="G42" i="8" s="1"/>
  <c r="G43" i="8" s="1"/>
  <c r="G46" i="8" s="1"/>
  <c r="H41" i="14"/>
  <c r="B43" i="14"/>
  <c r="F42" i="14"/>
  <c r="E42" i="14"/>
  <c r="D42" i="14"/>
  <c r="G42" i="14"/>
  <c r="I42" i="14"/>
  <c r="N7" i="8"/>
  <c r="M8" i="8"/>
  <c r="M9" i="8" s="1"/>
  <c r="M10" i="8" s="1"/>
  <c r="I35" i="8"/>
  <c r="D58" i="8"/>
  <c r="D55" i="8"/>
  <c r="D56" i="8" s="1"/>
  <c r="E49" i="8" s="1"/>
  <c r="E51" i="8" s="1"/>
  <c r="E52" i="8" s="1"/>
  <c r="E58" i="8" s="1"/>
  <c r="I37" i="8"/>
  <c r="I62" i="8"/>
  <c r="I33" i="8"/>
  <c r="J30" i="8"/>
  <c r="J27" i="8"/>
  <c r="J32" i="8"/>
  <c r="P6" i="8"/>
  <c r="K24" i="8"/>
  <c r="K26" i="8"/>
  <c r="L23" i="8"/>
  <c r="T14" i="8"/>
  <c r="G31" i="5" l="1"/>
  <c r="H16" i="5"/>
  <c r="H25" i="5" s="1"/>
  <c r="G44" i="8"/>
  <c r="H42" i="8" s="1"/>
  <c r="H43" i="8" s="1"/>
  <c r="H46" i="8" s="1"/>
  <c r="H42" i="14"/>
  <c r="B44" i="14"/>
  <c r="I43" i="14"/>
  <c r="G43" i="14"/>
  <c r="F43" i="14"/>
  <c r="E43" i="14"/>
  <c r="D43" i="14"/>
  <c r="J35" i="8"/>
  <c r="O7" i="8"/>
  <c r="N8" i="8"/>
  <c r="N9" i="8" s="1"/>
  <c r="N10" i="8" s="1"/>
  <c r="E53" i="8"/>
  <c r="E54" i="8" s="1"/>
  <c r="F50" i="8" s="1"/>
  <c r="Q6" i="8"/>
  <c r="J33" i="8"/>
  <c r="J62" i="8"/>
  <c r="J37" i="8"/>
  <c r="L24" i="8"/>
  <c r="L26" i="8"/>
  <c r="M23" i="8"/>
  <c r="K30" i="8"/>
  <c r="K32" i="8"/>
  <c r="K27" i="8"/>
  <c r="U14" i="8"/>
  <c r="H10" i="5" l="1"/>
  <c r="H13" i="5" s="1"/>
  <c r="H28" i="5" s="1"/>
  <c r="H44" i="8"/>
  <c r="I42" i="8" s="1"/>
  <c r="I43" i="8" s="1"/>
  <c r="I46" i="8" s="1"/>
  <c r="H43" i="14"/>
  <c r="B45" i="14"/>
  <c r="D44" i="14"/>
  <c r="E44" i="14"/>
  <c r="F44" i="14"/>
  <c r="I44" i="14"/>
  <c r="G44" i="14"/>
  <c r="K35" i="8"/>
  <c r="P7" i="8"/>
  <c r="O8" i="8"/>
  <c r="O9" i="8" s="1"/>
  <c r="O10" i="8" s="1"/>
  <c r="E55" i="8"/>
  <c r="E56" i="8" s="1"/>
  <c r="F49" i="8" s="1"/>
  <c r="F51" i="8" s="1"/>
  <c r="N23" i="8"/>
  <c r="L27" i="8"/>
  <c r="L32" i="8"/>
  <c r="L30" i="8"/>
  <c r="M24" i="8"/>
  <c r="M26" i="8"/>
  <c r="K37" i="8"/>
  <c r="K33" i="8"/>
  <c r="K62" i="8"/>
  <c r="R6" i="8"/>
  <c r="V14" i="8"/>
  <c r="H29" i="5" l="1"/>
  <c r="H30" i="5"/>
  <c r="H33" i="5" s="1"/>
  <c r="H44" i="14"/>
  <c r="B46" i="14"/>
  <c r="G45" i="14"/>
  <c r="F45" i="14"/>
  <c r="E45" i="14"/>
  <c r="D45" i="14"/>
  <c r="I45" i="14"/>
  <c r="L35" i="8"/>
  <c r="Q7" i="8"/>
  <c r="P8" i="8"/>
  <c r="P9" i="8" s="1"/>
  <c r="P10" i="8" s="1"/>
  <c r="F52" i="8"/>
  <c r="F53" i="8" s="1"/>
  <c r="F54" i="8" s="1"/>
  <c r="G50" i="8" s="1"/>
  <c r="I44" i="8"/>
  <c r="J42" i="8" s="1"/>
  <c r="S6" i="8"/>
  <c r="M27" i="8"/>
  <c r="M32" i="8"/>
  <c r="M30" i="8"/>
  <c r="L62" i="8"/>
  <c r="L33" i="8"/>
  <c r="L37" i="8"/>
  <c r="N24" i="8"/>
  <c r="N26" i="8"/>
  <c r="O23" i="8"/>
  <c r="H31" i="5" l="1"/>
  <c r="J43" i="8"/>
  <c r="J46" i="8" s="1"/>
  <c r="H45" i="14"/>
  <c r="B47" i="14"/>
  <c r="I46" i="14"/>
  <c r="G46" i="14"/>
  <c r="F46" i="14"/>
  <c r="E46" i="14"/>
  <c r="D46" i="14"/>
  <c r="R7" i="8"/>
  <c r="Q8" i="8"/>
  <c r="Q9" i="8" s="1"/>
  <c r="Q10" i="8" s="1"/>
  <c r="M35" i="8"/>
  <c r="F58" i="8"/>
  <c r="F55" i="8"/>
  <c r="F56" i="8" s="1"/>
  <c r="G49" i="8" s="1"/>
  <c r="G51" i="8" s="1"/>
  <c r="N30" i="8"/>
  <c r="N27" i="8"/>
  <c r="N32" i="8"/>
  <c r="T6" i="8"/>
  <c r="M37" i="8"/>
  <c r="M62" i="8"/>
  <c r="M33" i="8"/>
  <c r="P23" i="8"/>
  <c r="O24" i="8"/>
  <c r="O26" i="8"/>
  <c r="I16" i="5" l="1"/>
  <c r="I25" i="5" s="1"/>
  <c r="J44" i="8"/>
  <c r="K42" i="8" s="1"/>
  <c r="K43" i="8" s="1"/>
  <c r="H46" i="14"/>
  <c r="B48" i="14"/>
  <c r="E47" i="14"/>
  <c r="D47" i="14"/>
  <c r="F47" i="14"/>
  <c r="I47" i="14"/>
  <c r="G47" i="14"/>
  <c r="S7" i="8"/>
  <c r="R8" i="8"/>
  <c r="R9" i="8" s="1"/>
  <c r="R10" i="8" s="1"/>
  <c r="N35" i="8"/>
  <c r="G52" i="8"/>
  <c r="G58" i="8" s="1"/>
  <c r="P24" i="8"/>
  <c r="P26" i="8"/>
  <c r="Q23" i="8"/>
  <c r="U6" i="8"/>
  <c r="N37" i="8"/>
  <c r="N33" i="8"/>
  <c r="N62" i="8"/>
  <c r="O27" i="8"/>
  <c r="O30" i="8"/>
  <c r="O32" i="8"/>
  <c r="I10" i="5" l="1"/>
  <c r="I13" i="5" s="1"/>
  <c r="I28" i="5" s="1"/>
  <c r="K44" i="8"/>
  <c r="L42" i="8" s="1"/>
  <c r="L43" i="8" s="1"/>
  <c r="L46" i="8" s="1"/>
  <c r="K46" i="8"/>
  <c r="H47" i="14"/>
  <c r="B49" i="14"/>
  <c r="I48" i="14"/>
  <c r="G48" i="14"/>
  <c r="F48" i="14"/>
  <c r="E48" i="14"/>
  <c r="D48" i="14"/>
  <c r="O35" i="8"/>
  <c r="T7" i="8"/>
  <c r="S8" i="8"/>
  <c r="S9" i="8" s="1"/>
  <c r="S10" i="8" s="1"/>
  <c r="G53" i="8"/>
  <c r="G54" i="8" s="1"/>
  <c r="H50" i="8" s="1"/>
  <c r="P27" i="8"/>
  <c r="P32" i="8"/>
  <c r="P30" i="8"/>
  <c r="V6" i="8"/>
  <c r="O33" i="8"/>
  <c r="O62" i="8"/>
  <c r="O37" i="8"/>
  <c r="R23" i="8"/>
  <c r="Q24" i="8"/>
  <c r="Q26" i="8"/>
  <c r="I30" i="5" l="1"/>
  <c r="I33" i="5" s="1"/>
  <c r="I29" i="5"/>
  <c r="L44" i="8"/>
  <c r="M42" i="8" s="1"/>
  <c r="M43" i="8" s="1"/>
  <c r="M46" i="8" s="1"/>
  <c r="H48" i="14"/>
  <c r="B50" i="14"/>
  <c r="E49" i="14"/>
  <c r="D49" i="14"/>
  <c r="I49" i="14"/>
  <c r="G49" i="14"/>
  <c r="F49" i="14"/>
  <c r="U7" i="8"/>
  <c r="T8" i="8"/>
  <c r="T9" i="8" s="1"/>
  <c r="T10" i="8" s="1"/>
  <c r="P35" i="8"/>
  <c r="G55" i="8"/>
  <c r="G56" i="8" s="1"/>
  <c r="H49" i="8" s="1"/>
  <c r="H51" i="8" s="1"/>
  <c r="H52" i="8" s="1"/>
  <c r="R24" i="8"/>
  <c r="R26" i="8"/>
  <c r="S23" i="8"/>
  <c r="Q27" i="8"/>
  <c r="Q30" i="8"/>
  <c r="Q32" i="8"/>
  <c r="P62" i="8"/>
  <c r="P33" i="8"/>
  <c r="P37" i="8"/>
  <c r="I31" i="5" l="1"/>
  <c r="H49" i="14"/>
  <c r="B51" i="14"/>
  <c r="F50" i="14"/>
  <c r="E50" i="14"/>
  <c r="D50" i="14"/>
  <c r="G50" i="14"/>
  <c r="I50" i="14"/>
  <c r="V7" i="8"/>
  <c r="U8" i="8"/>
  <c r="U9" i="8" s="1"/>
  <c r="U10" i="8" s="1"/>
  <c r="Q35" i="8"/>
  <c r="T23" i="8"/>
  <c r="Q62" i="8"/>
  <c r="Q37" i="8"/>
  <c r="Q33" i="8"/>
  <c r="S24" i="8"/>
  <c r="S26" i="8"/>
  <c r="R32" i="8"/>
  <c r="R27" i="8"/>
  <c r="R30" i="8"/>
  <c r="H58" i="8"/>
  <c r="H53" i="8"/>
  <c r="H54" i="8" s="1"/>
  <c r="I50" i="8" s="1"/>
  <c r="M44" i="8"/>
  <c r="N42" i="8" s="1"/>
  <c r="N43" i="8" s="1"/>
  <c r="N46" i="8" s="1"/>
  <c r="J16" i="5" l="1"/>
  <c r="J25" i="5" s="1"/>
  <c r="B38" i="8"/>
  <c r="B52" i="14"/>
  <c r="I51" i="14"/>
  <c r="G51" i="14"/>
  <c r="F51" i="14"/>
  <c r="E51" i="14"/>
  <c r="D51" i="14"/>
  <c r="H50" i="14"/>
  <c r="R35" i="8"/>
  <c r="V8" i="8"/>
  <c r="V9" i="8" s="1"/>
  <c r="V10" i="8" s="1"/>
  <c r="R37" i="8"/>
  <c r="R62" i="8"/>
  <c r="R33" i="8"/>
  <c r="S30" i="8"/>
  <c r="S32" i="8"/>
  <c r="S27" i="8"/>
  <c r="U23" i="8"/>
  <c r="V23" i="8"/>
  <c r="T24" i="8"/>
  <c r="T26" i="8"/>
  <c r="H55" i="8"/>
  <c r="H56" i="8" s="1"/>
  <c r="I49" i="8" s="1"/>
  <c r="J10" i="5" l="1"/>
  <c r="J13" i="5" s="1"/>
  <c r="J28" i="5" s="1"/>
  <c r="H51" i="14"/>
  <c r="B53" i="14"/>
  <c r="D52" i="14"/>
  <c r="F52" i="14"/>
  <c r="E52" i="14"/>
  <c r="I52" i="14"/>
  <c r="G52" i="14"/>
  <c r="S35" i="8"/>
  <c r="T32" i="8"/>
  <c r="T27" i="8"/>
  <c r="T30" i="8"/>
  <c r="U26" i="8"/>
  <c r="U24" i="8"/>
  <c r="V24" i="8"/>
  <c r="V26" i="8"/>
  <c r="S62" i="8"/>
  <c r="S37" i="8"/>
  <c r="S33" i="8"/>
  <c r="I51" i="8"/>
  <c r="I52" i="8" s="1"/>
  <c r="N44" i="8"/>
  <c r="O42" i="8" s="1"/>
  <c r="O43" i="8" s="1"/>
  <c r="O46" i="8" s="1"/>
  <c r="J30" i="5" l="1"/>
  <c r="J33" i="5" s="1"/>
  <c r="J29" i="5"/>
  <c r="H52" i="14"/>
  <c r="B54" i="14"/>
  <c r="G53" i="14"/>
  <c r="F53" i="14"/>
  <c r="E53" i="14"/>
  <c r="D53" i="14"/>
  <c r="I53" i="14"/>
  <c r="T35" i="8"/>
  <c r="T33" i="8"/>
  <c r="T62" i="8"/>
  <c r="T37" i="8"/>
  <c r="V32" i="8"/>
  <c r="V30" i="8"/>
  <c r="V27" i="8"/>
  <c r="U27" i="8"/>
  <c r="U30" i="8"/>
  <c r="U32" i="8"/>
  <c r="I53" i="8"/>
  <c r="I54" i="8" s="1"/>
  <c r="J50" i="8" s="1"/>
  <c r="I58" i="8"/>
  <c r="J31" i="5" l="1"/>
  <c r="K16" i="5"/>
  <c r="K25" i="5" s="1"/>
  <c r="H53" i="14"/>
  <c r="B55" i="14"/>
  <c r="I54" i="14"/>
  <c r="G54" i="14"/>
  <c r="F54" i="14"/>
  <c r="E54" i="14"/>
  <c r="D54" i="14"/>
  <c r="U35" i="8"/>
  <c r="V35" i="8"/>
  <c r="W32" i="8"/>
  <c r="V33" i="8"/>
  <c r="V37" i="8"/>
  <c r="V62" i="8"/>
  <c r="U33" i="8"/>
  <c r="U37" i="8"/>
  <c r="U62" i="8"/>
  <c r="I55" i="8"/>
  <c r="I56" i="8" s="1"/>
  <c r="J49" i="8" s="1"/>
  <c r="J51" i="8" s="1"/>
  <c r="J52" i="8" s="1"/>
  <c r="J58" i="8" s="1"/>
  <c r="O44" i="8"/>
  <c r="P42" i="8" s="1"/>
  <c r="P43" i="8" s="1"/>
  <c r="P46" i="8" s="1"/>
  <c r="AN17" i="5"/>
  <c r="K10" i="5" l="1"/>
  <c r="K13" i="5" s="1"/>
  <c r="K28" i="5" s="1"/>
  <c r="B39" i="8"/>
  <c r="H54" i="14"/>
  <c r="B56" i="14"/>
  <c r="E55" i="14"/>
  <c r="D55" i="14"/>
  <c r="F55" i="14"/>
  <c r="G55" i="14"/>
  <c r="I55" i="14"/>
  <c r="C61" i="8"/>
  <c r="F113" i="11" s="1"/>
  <c r="J53" i="8"/>
  <c r="AP17" i="5"/>
  <c r="K29" i="5" l="1"/>
  <c r="K30" i="5"/>
  <c r="K33" i="5" s="1"/>
  <c r="H55" i="14"/>
  <c r="I56" i="14"/>
  <c r="G56" i="14"/>
  <c r="F56" i="14"/>
  <c r="E56" i="14"/>
  <c r="D56" i="14"/>
  <c r="C63" i="8"/>
  <c r="C64" i="8" s="1"/>
  <c r="D61" i="8" s="1"/>
  <c r="J54" i="8"/>
  <c r="K50" i="8" s="1"/>
  <c r="J55" i="8"/>
  <c r="J56" i="8" s="1"/>
  <c r="K49" i="8" s="1"/>
  <c r="K51" i="8" s="1"/>
  <c r="P44" i="8"/>
  <c r="Q42" i="8" s="1"/>
  <c r="Q43" i="8" s="1"/>
  <c r="Q46" i="8" s="1"/>
  <c r="K31" i="5" l="1"/>
  <c r="H56" i="14"/>
  <c r="I5" i="14"/>
  <c r="E110" i="11" s="1"/>
  <c r="I6" i="14"/>
  <c r="I7" i="14"/>
  <c r="I9" i="14" s="1"/>
  <c r="E51" i="7" s="1"/>
  <c r="D63" i="8"/>
  <c r="D64" i="8" s="1"/>
  <c r="E61" i="8" s="1"/>
  <c r="E63" i="8" s="1"/>
  <c r="E64" i="8" s="1"/>
  <c r="F61" i="8" s="1"/>
  <c r="G117" i="11"/>
  <c r="C131" i="11" s="1"/>
  <c r="H113" i="11"/>
  <c r="K52" i="8"/>
  <c r="K58" i="8" s="1"/>
  <c r="L16" i="5" l="1"/>
  <c r="L25" i="5" s="1"/>
  <c r="B23" i="5"/>
  <c r="AO23" i="5" s="1"/>
  <c r="F51" i="7"/>
  <c r="F53" i="7" s="1"/>
  <c r="E53" i="7"/>
  <c r="E40" i="7"/>
  <c r="H117" i="11"/>
  <c r="G125" i="11"/>
  <c r="B11" i="5"/>
  <c r="AO11" i="5" s="1"/>
  <c r="F63" i="8"/>
  <c r="F64" i="8" s="1"/>
  <c r="G61" i="8" s="1"/>
  <c r="G63" i="8" s="1"/>
  <c r="G64" i="8" s="1"/>
  <c r="H61" i="8" s="1"/>
  <c r="H63" i="8" s="1"/>
  <c r="H64" i="8" s="1"/>
  <c r="I61" i="8" s="1"/>
  <c r="K53" i="8"/>
  <c r="K54" i="8" s="1"/>
  <c r="L50" i="8" s="1"/>
  <c r="Q44" i="8"/>
  <c r="R42" i="8" s="1"/>
  <c r="R43" i="8" s="1"/>
  <c r="R46" i="8" s="1"/>
  <c r="L10" i="5" l="1"/>
  <c r="L13" i="5" s="1"/>
  <c r="L28" i="5" s="1"/>
  <c r="AP23" i="5"/>
  <c r="B25" i="5"/>
  <c r="AO25" i="5" s="1"/>
  <c r="L126" i="11"/>
  <c r="G129" i="11"/>
  <c r="H125" i="11"/>
  <c r="C128" i="11"/>
  <c r="C132" i="11" s="1"/>
  <c r="G130" i="11" s="1"/>
  <c r="I63" i="8"/>
  <c r="I64" i="8" s="1"/>
  <c r="J61" i="8" s="1"/>
  <c r="E42" i="7"/>
  <c r="G40" i="7" s="1"/>
  <c r="F40" i="7"/>
  <c r="AN11" i="5"/>
  <c r="K55" i="8"/>
  <c r="K56" i="8" s="1"/>
  <c r="L49" i="8" s="1"/>
  <c r="L51" i="8" s="1"/>
  <c r="E55" i="7" l="1"/>
  <c r="L29" i="5"/>
  <c r="L30" i="5"/>
  <c r="L33" i="5" s="1"/>
  <c r="AP11" i="5"/>
  <c r="J63" i="8"/>
  <c r="J64" i="8" s="1"/>
  <c r="K61" i="8" s="1"/>
  <c r="G35" i="7"/>
  <c r="G39" i="7"/>
  <c r="G47" i="7"/>
  <c r="G52" i="7"/>
  <c r="H42" i="7"/>
  <c r="G37" i="7"/>
  <c r="G48" i="7"/>
  <c r="G36" i="7"/>
  <c r="G46" i="7"/>
  <c r="G38" i="7"/>
  <c r="G49" i="7"/>
  <c r="F42" i="7"/>
  <c r="G42" i="7"/>
  <c r="G51" i="7"/>
  <c r="G45" i="7"/>
  <c r="G50" i="7"/>
  <c r="G41" i="7"/>
  <c r="L52" i="8"/>
  <c r="L58" i="8" s="1"/>
  <c r="R44" i="8"/>
  <c r="S42" i="8" s="1"/>
  <c r="L31" i="5" l="1"/>
  <c r="M10" i="5"/>
  <c r="M13" i="5" s="1"/>
  <c r="M16" i="5"/>
  <c r="S43" i="8"/>
  <c r="G131" i="11"/>
  <c r="G132" i="11" s="1"/>
  <c r="G134" i="11" s="1"/>
  <c r="L53" i="8"/>
  <c r="L55" i="8" s="1"/>
  <c r="L56" i="8" s="1"/>
  <c r="M49" i="8" s="1"/>
  <c r="M51" i="8" s="1"/>
  <c r="K63" i="8"/>
  <c r="K64" i="8" s="1"/>
  <c r="L61" i="8" s="1"/>
  <c r="L63" i="8" s="1"/>
  <c r="L64" i="8" s="1"/>
  <c r="M61" i="8" s="1"/>
  <c r="F55" i="7"/>
  <c r="G55" i="7"/>
  <c r="G53" i="7"/>
  <c r="G135" i="11" l="1"/>
  <c r="E123" i="11"/>
  <c r="S44" i="8"/>
  <c r="T42" i="8" s="1"/>
  <c r="T43" i="8" s="1"/>
  <c r="T46" i="8" s="1"/>
  <c r="S46" i="8"/>
  <c r="L54" i="8"/>
  <c r="M50" i="8" s="1"/>
  <c r="M52" i="8" s="1"/>
  <c r="M58" i="8" s="1"/>
  <c r="M63" i="8"/>
  <c r="M64" i="8" s="1"/>
  <c r="N61" i="8" s="1"/>
  <c r="M53" i="8" l="1"/>
  <c r="M54" i="8" s="1"/>
  <c r="N50" i="8" s="1"/>
  <c r="N63" i="8"/>
  <c r="N64" i="8" s="1"/>
  <c r="O61" i="8" s="1"/>
  <c r="T44" i="8"/>
  <c r="U42" i="8" s="1"/>
  <c r="U43" i="8" s="1"/>
  <c r="U46" i="8" s="1"/>
  <c r="M55" i="8" l="1"/>
  <c r="M56" i="8" s="1"/>
  <c r="N49" i="8" s="1"/>
  <c r="O63" i="8"/>
  <c r="O64" i="8" s="1"/>
  <c r="P61" i="8" s="1"/>
  <c r="N51" i="8" l="1"/>
  <c r="N52" i="8" s="1"/>
  <c r="N58" i="8" s="1"/>
  <c r="U44" i="8"/>
  <c r="V42" i="8" s="1"/>
  <c r="P63" i="8"/>
  <c r="P64" i="8" s="1"/>
  <c r="Q61" i="8" s="1"/>
  <c r="V43" i="8" l="1"/>
  <c r="N53" i="8"/>
  <c r="Q63" i="8"/>
  <c r="Q64" i="8" s="1"/>
  <c r="R61" i="8" s="1"/>
  <c r="V44" i="8" l="1"/>
  <c r="V46" i="8"/>
  <c r="N54" i="8"/>
  <c r="O50" i="8" s="1"/>
  <c r="N55" i="8"/>
  <c r="N56" i="8" s="1"/>
  <c r="O49" i="8" s="1"/>
  <c r="O51" i="8" s="1"/>
  <c r="R63" i="8"/>
  <c r="R64" i="8" s="1"/>
  <c r="S61" i="8" s="1"/>
  <c r="O52" i="8" l="1"/>
  <c r="O58" i="8" s="1"/>
  <c r="S63" i="8"/>
  <c r="S64" i="8" s="1"/>
  <c r="T61" i="8" s="1"/>
  <c r="O53" i="8" l="1"/>
  <c r="T63" i="8"/>
  <c r="T64" i="8" s="1"/>
  <c r="U61" i="8" s="1"/>
  <c r="O55" i="8" l="1"/>
  <c r="O56" i="8" s="1"/>
  <c r="P49" i="8" s="1"/>
  <c r="O54" i="8"/>
  <c r="P50" i="8" s="1"/>
  <c r="U63" i="8"/>
  <c r="U64" i="8" s="1"/>
  <c r="V61" i="8" s="1"/>
  <c r="P51" i="8" l="1"/>
  <c r="P52" i="8" s="1"/>
  <c r="P58" i="8" s="1"/>
  <c r="V63" i="8"/>
  <c r="V64" i="8" s="1"/>
  <c r="P53" i="8" l="1"/>
  <c r="P54" i="8" s="1"/>
  <c r="Q50" i="8" s="1"/>
  <c r="P55" i="8" l="1"/>
  <c r="P56" i="8" s="1"/>
  <c r="Q49" i="8" s="1"/>
  <c r="Q51" i="8" s="1"/>
  <c r="Q52" i="8" s="1"/>
  <c r="Q58" i="8" s="1"/>
  <c r="Q53" i="8" l="1"/>
  <c r="Q55" i="8" s="1"/>
  <c r="Q56" i="8" s="1"/>
  <c r="R49" i="8" s="1"/>
  <c r="R51" i="8" s="1"/>
  <c r="Q54" i="8" l="1"/>
  <c r="R50" i="8" s="1"/>
  <c r="R52" i="8" s="1"/>
  <c r="R53" i="8" s="1"/>
  <c r="R54" i="8" s="1"/>
  <c r="S50" i="8" s="1"/>
  <c r="R55" i="8" l="1"/>
  <c r="R56" i="8" s="1"/>
  <c r="S49" i="8" s="1"/>
  <c r="R58" i="8"/>
  <c r="S51" i="8" l="1"/>
  <c r="S52" i="8" s="1"/>
  <c r="S58" i="8" l="1"/>
  <c r="S53" i="8"/>
  <c r="S55" i="8" s="1"/>
  <c r="S56" i="8" s="1"/>
  <c r="T49" i="8" s="1"/>
  <c r="T51" i="8" l="1"/>
  <c r="S54" i="8"/>
  <c r="T50" i="8" s="1"/>
  <c r="T52" i="8" l="1"/>
  <c r="T53" i="8" s="1"/>
  <c r="T54" i="8" s="1"/>
  <c r="U50" i="8" s="1"/>
  <c r="T55" i="8" l="1"/>
  <c r="T56" i="8" s="1"/>
  <c r="U49" i="8" s="1"/>
  <c r="T58" i="8"/>
  <c r="U51" i="8" l="1"/>
  <c r="U52" i="8" s="1"/>
  <c r="U58" i="8" l="1"/>
  <c r="U53" i="8"/>
  <c r="U55" i="8" s="1"/>
  <c r="U56" i="8" s="1"/>
  <c r="V49" i="8" s="1"/>
  <c r="V51" i="8" l="1"/>
  <c r="U54" i="8"/>
  <c r="V50" i="8" s="1"/>
  <c r="V52" i="8" l="1"/>
  <c r="V53" i="8" s="1"/>
  <c r="V54" i="8" s="1"/>
  <c r="V55" i="8" l="1"/>
  <c r="V56" i="8" s="1"/>
  <c r="V58" i="8"/>
  <c r="AN18" i="5"/>
  <c r="AP18" i="5" s="1"/>
  <c r="M25" i="5"/>
  <c r="M28" i="5" s="1"/>
  <c r="M30" i="5" l="1"/>
  <c r="M33" i="5" s="1"/>
  <c r="M29" i="5"/>
  <c r="M31" i="5" s="1"/>
  <c r="AN25" i="5"/>
  <c r="AP25" i="5" l="1"/>
  <c r="N16" i="5" l="1"/>
  <c r="N25" i="5" s="1"/>
  <c r="N10" i="5" l="1"/>
  <c r="N13" i="5" s="1"/>
  <c r="N28" i="5" s="1"/>
  <c r="N30" i="5" l="1"/>
  <c r="N33" i="5" s="1"/>
  <c r="O16" i="5" s="1"/>
  <c r="O25" i="5" s="1"/>
  <c r="N29" i="5"/>
  <c r="N31" i="5" s="1"/>
  <c r="O10" i="5" l="1"/>
  <c r="O13" i="5" s="1"/>
  <c r="O28" i="5" s="1"/>
  <c r="O29" i="5" l="1"/>
  <c r="O30" i="5"/>
  <c r="O33" i="5" s="1"/>
  <c r="P16" i="5" s="1"/>
  <c r="P25" i="5" s="1"/>
  <c r="O31" i="5" l="1"/>
  <c r="P10" i="5" s="1"/>
  <c r="P13" i="5" s="1"/>
  <c r="P28" i="5" s="1"/>
  <c r="P29" i="5" l="1"/>
  <c r="P30" i="5"/>
  <c r="P33" i="5" s="1"/>
  <c r="Q16" i="5" s="1"/>
  <c r="Q25" i="5" s="1"/>
  <c r="P31" i="5" l="1"/>
  <c r="Q10" i="5" s="1"/>
  <c r="Q13" i="5" s="1"/>
  <c r="Q28" i="5" s="1"/>
  <c r="Q30" i="5" l="1"/>
  <c r="Q33" i="5" s="1"/>
  <c r="R16" i="5" s="1"/>
  <c r="R25" i="5" s="1"/>
  <c r="Q29" i="5"/>
  <c r="Q31" i="5" s="1"/>
  <c r="R10" i="5" l="1"/>
  <c r="R13" i="5" s="1"/>
  <c r="R28" i="5" s="1"/>
  <c r="R30" i="5" l="1"/>
  <c r="R33" i="5" s="1"/>
  <c r="S16" i="5" s="1"/>
  <c r="S25" i="5" s="1"/>
  <c r="R29" i="5"/>
  <c r="R31" i="5" l="1"/>
  <c r="S10" i="5"/>
  <c r="S13" i="5" s="1"/>
  <c r="S28" i="5" s="1"/>
  <c r="S29" i="5" l="1"/>
  <c r="S30" i="5"/>
  <c r="S33" i="5" s="1"/>
  <c r="T16" i="5" s="1"/>
  <c r="T25" i="5" s="1"/>
  <c r="S31" i="5" l="1"/>
  <c r="T10" i="5" s="1"/>
  <c r="T13" i="5" s="1"/>
  <c r="T28" i="5" s="1"/>
  <c r="T29" i="5" l="1"/>
  <c r="T30" i="5"/>
  <c r="T33" i="5" s="1"/>
  <c r="U16" i="5" s="1"/>
  <c r="U25" i="5" s="1"/>
  <c r="T31" i="5"/>
  <c r="U10" i="5" l="1"/>
  <c r="U13" i="5" s="1"/>
  <c r="U28" i="5" s="1"/>
  <c r="U30" i="5" l="1"/>
  <c r="U33" i="5" s="1"/>
  <c r="V16" i="5" s="1"/>
  <c r="V25" i="5" s="1"/>
  <c r="U29" i="5"/>
  <c r="U31" i="5" l="1"/>
  <c r="V10" i="5"/>
  <c r="V13" i="5" s="1"/>
  <c r="V28" i="5" s="1"/>
  <c r="V30" i="5" l="1"/>
  <c r="V33" i="5" s="1"/>
  <c r="V29" i="5"/>
  <c r="V31" i="5" s="1"/>
  <c r="W16" i="5" l="1"/>
  <c r="W25" i="5" s="1"/>
  <c r="AB10" i="5" l="1"/>
  <c r="AB13" i="5" s="1"/>
  <c r="W10" i="5"/>
  <c r="W13" i="5" s="1"/>
  <c r="W28" i="5" s="1"/>
  <c r="W30" i="5" l="1"/>
  <c r="W33" i="5" s="1"/>
  <c r="W29" i="5"/>
  <c r="W31" i="5" s="1"/>
  <c r="X16" i="5" l="1"/>
  <c r="X25" i="5" s="1"/>
  <c r="X10" i="5" l="1"/>
  <c r="X13" i="5" s="1"/>
  <c r="X28" i="5" s="1"/>
  <c r="X29" i="5" l="1"/>
  <c r="X30" i="5"/>
  <c r="X33" i="5" s="1"/>
  <c r="X31" i="5" l="1"/>
  <c r="Y16" i="5" l="1"/>
  <c r="Y25" i="5" s="1"/>
  <c r="Y10" i="5" l="1"/>
  <c r="Y13" i="5" s="1"/>
  <c r="Y28" i="5" s="1"/>
  <c r="Y30" i="5" l="1"/>
  <c r="Y33" i="5" s="1"/>
  <c r="Y29" i="5"/>
  <c r="Y31" i="5" l="1"/>
  <c r="Z16" i="5" l="1"/>
  <c r="Z25" i="5" s="1"/>
  <c r="Z10" i="5" l="1"/>
  <c r="Z13" i="5" s="1"/>
  <c r="Z28" i="5" s="1"/>
  <c r="Z30" i="5" l="1"/>
  <c r="Z33" i="5" s="1"/>
  <c r="Z29" i="5"/>
  <c r="Z31" i="5" l="1"/>
  <c r="AA16" i="5" l="1"/>
  <c r="AA25" i="5" s="1"/>
  <c r="AA10" i="5" l="1"/>
  <c r="AA13" i="5" l="1"/>
  <c r="AA28" i="5" s="1"/>
  <c r="AA29" i="5" l="1"/>
  <c r="AA30" i="5"/>
  <c r="AA33" i="5" s="1"/>
  <c r="AA31" i="5" l="1"/>
  <c r="AB16" i="5" l="1"/>
  <c r="AB25" i="5" s="1"/>
  <c r="AB28" i="5" s="1"/>
  <c r="AB29" i="5" l="1"/>
  <c r="AB30" i="5"/>
  <c r="AB33" i="5" s="1"/>
  <c r="AG10" i="5"/>
  <c r="AG13" i="5" s="1"/>
  <c r="AB31" i="5" l="1"/>
  <c r="AC16" i="5" l="1"/>
  <c r="AC25" i="5" s="1"/>
  <c r="AC10" i="5" l="1"/>
  <c r="AC13" i="5" l="1"/>
  <c r="AC28" i="5" s="1"/>
  <c r="AC30" i="5" l="1"/>
  <c r="AC33" i="5" s="1"/>
  <c r="AC29" i="5"/>
  <c r="AC31" i="5" s="1"/>
  <c r="AD16" i="5" l="1"/>
  <c r="AD25" i="5" s="1"/>
  <c r="AD10" i="5" l="1"/>
  <c r="AD13" i="5" l="1"/>
  <c r="AD28" i="5" s="1"/>
  <c r="AD29" i="5" l="1"/>
  <c r="AD30" i="5"/>
  <c r="AD33" i="5" s="1"/>
  <c r="AD31" i="5" l="1"/>
  <c r="AE16" i="5" l="1"/>
  <c r="AE25" i="5" s="1"/>
  <c r="AE10" i="5" l="1"/>
  <c r="AF10" i="5"/>
  <c r="AF13" i="5" s="1"/>
  <c r="AE13" i="5" l="1"/>
  <c r="AE28" i="5" s="1"/>
  <c r="AE29" i="5" l="1"/>
  <c r="AE30" i="5"/>
  <c r="AE33" i="5" s="1"/>
  <c r="AE31" i="5" l="1"/>
  <c r="AF16" i="5" l="1"/>
  <c r="AF25" i="5" s="1"/>
  <c r="AF28" i="5" s="1"/>
  <c r="AF29" i="5" l="1"/>
  <c r="AF30" i="5"/>
  <c r="AF33" i="5" s="1"/>
  <c r="AF31" i="5" l="1"/>
  <c r="AG16" i="5" l="1"/>
  <c r="AG25" i="5" s="1"/>
  <c r="AG28" i="5" s="1"/>
  <c r="AG30" i="5" l="1"/>
  <c r="AG33" i="5" s="1"/>
  <c r="AG29" i="5"/>
  <c r="AG31" i="5" s="1"/>
  <c r="AH16" i="5" l="1"/>
  <c r="AH25" i="5" s="1"/>
  <c r="AH10" i="5" l="1"/>
  <c r="AH13" i="5" s="1"/>
  <c r="AH28" i="5" s="1"/>
  <c r="AH30" i="5" l="1"/>
  <c r="AH33" i="5" s="1"/>
  <c r="AH29" i="5"/>
  <c r="AH31" i="5" s="1"/>
  <c r="AI16" i="5" l="1"/>
  <c r="AI25" i="5" s="1"/>
  <c r="AI10" i="5" l="1"/>
  <c r="AI13" i="5" s="1"/>
  <c r="AI28" i="5" s="1"/>
  <c r="AI29" i="5" l="1"/>
  <c r="AI30" i="5"/>
  <c r="AI33" i="5" s="1"/>
  <c r="AI31" i="5" l="1"/>
  <c r="AJ16" i="5" l="1"/>
  <c r="AJ25" i="5" s="1"/>
  <c r="AJ10" i="5" l="1"/>
  <c r="AJ13" i="5" s="1"/>
  <c r="AJ28" i="5" s="1"/>
  <c r="AK10" i="5"/>
  <c r="AK13" i="5" s="1"/>
  <c r="AL10" i="5"/>
  <c r="AL13" i="5" s="1"/>
  <c r="AJ29" i="5" l="1"/>
  <c r="AJ30" i="5"/>
  <c r="AJ33" i="5" s="1"/>
  <c r="AJ31" i="5" l="1"/>
  <c r="AK16" i="5" l="1"/>
  <c r="AK25" i="5" s="1"/>
  <c r="AK28" i="5" s="1"/>
  <c r="AK30" i="5" l="1"/>
  <c r="AK33" i="5" s="1"/>
  <c r="AK29" i="5"/>
  <c r="AM10" i="5"/>
  <c r="AK31" i="5" l="1"/>
  <c r="AM13" i="5"/>
  <c r="AN10" i="5"/>
  <c r="AL16" i="5" l="1"/>
  <c r="AL25" i="5" s="1"/>
  <c r="AL28" i="5" s="1"/>
  <c r="AN13" i="5"/>
  <c r="F65" i="11"/>
  <c r="AL30" i="5" l="1"/>
  <c r="AL33" i="5" s="1"/>
  <c r="AL29" i="5"/>
  <c r="AL31" i="5" l="1"/>
  <c r="AM16" i="5" l="1"/>
  <c r="AM25" i="5" s="1"/>
  <c r="AM28" i="5" s="1"/>
  <c r="AM30" i="5" l="1"/>
  <c r="AM33" i="5" s="1"/>
  <c r="AM29" i="5"/>
  <c r="AM3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L59" authorId="0" shapeId="0" xr:uid="{00000000-0006-0000-0100-000001000000}">
      <text>
        <r>
          <rPr>
            <b/>
            <sz val="8"/>
            <color indexed="81"/>
            <rFont val="Tahoma"/>
            <family val="2"/>
          </rPr>
          <t>Assumes use of same Utility Allowance Calculations for each subsidy program; this may not always be the case.</t>
        </r>
        <r>
          <rPr>
            <sz val="8"/>
            <color indexed="81"/>
            <rFont val="Tahoma"/>
            <family val="2"/>
          </rPr>
          <t xml:space="preserve">
</t>
        </r>
      </text>
    </comment>
    <comment ref="I66" authorId="0" shapeId="0" xr:uid="{25820941-32FD-4E3A-B603-6378B1F62521}">
      <text>
        <r>
          <rPr>
            <b/>
            <sz val="9"/>
            <color indexed="81"/>
            <rFont val="Tahoma"/>
            <family val="2"/>
          </rPr>
          <t xml:space="preserve">Note: </t>
        </r>
        <r>
          <rPr>
            <sz val="9"/>
            <color indexed="81"/>
            <rFont val="Tahoma"/>
            <family val="2"/>
          </rPr>
          <t xml:space="preserve">City generally underwrites to a max of $240 PUPY, must provide actual operating data from comparable properties.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C49" authorId="0" shapeId="0" xr:uid="{8298D00E-B2DC-4B7D-9A1C-C17FAECE28DA}">
      <text>
        <r>
          <rPr>
            <b/>
            <sz val="9"/>
            <color indexed="81"/>
            <rFont val="Tahoma"/>
            <family val="2"/>
          </rPr>
          <t xml:space="preserve">Note: </t>
        </r>
        <r>
          <rPr>
            <sz val="9"/>
            <color indexed="81"/>
            <rFont val="Tahoma"/>
            <family val="2"/>
          </rPr>
          <t>Will need to adjust formula if multiple sources of City funding.</t>
        </r>
      </text>
    </comment>
    <comment ref="A56" authorId="0" shapeId="0" xr:uid="{9872ABED-6E47-41A3-B9D3-FC320F56A5F5}">
      <text>
        <r>
          <rPr>
            <b/>
            <sz val="9"/>
            <color indexed="81"/>
            <rFont val="Tahoma"/>
            <family val="2"/>
          </rPr>
          <t xml:space="preserve">Note: </t>
        </r>
        <r>
          <rPr>
            <sz val="9"/>
            <color indexed="81"/>
            <rFont val="Tahoma"/>
            <family val="2"/>
          </rPr>
          <t xml:space="preserve">Assumes simple interest, i.e., interest is not charged on accrued interest.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C2" authorId="0" shapeId="0" xr:uid="{D71EED85-A0CF-463E-963F-FFE849F9D952}">
      <text>
        <r>
          <rPr>
            <b/>
            <sz val="9"/>
            <color indexed="81"/>
            <rFont val="Tahoma"/>
            <family val="2"/>
          </rPr>
          <t xml:space="preserve">Note: </t>
        </r>
        <r>
          <rPr>
            <sz val="9"/>
            <color indexed="81"/>
            <rFont val="Tahoma"/>
            <family val="2"/>
          </rPr>
          <t xml:space="preserve">Enter date as Month/01/Year
</t>
        </r>
      </text>
    </comment>
  </commentList>
</comments>
</file>

<file path=xl/sharedStrings.xml><?xml version="1.0" encoding="utf-8"?>
<sst xmlns="http://schemas.openxmlformats.org/spreadsheetml/2006/main" count="676" uniqueCount="394">
  <si>
    <t>50% AMI</t>
  </si>
  <si>
    <t>30% AMI</t>
  </si>
  <si>
    <t>40% AMI</t>
  </si>
  <si>
    <t>60% AMI</t>
  </si>
  <si>
    <t>100% AMI</t>
  </si>
  <si>
    <t>Imputed HH Income Limits</t>
  </si>
  <si>
    <t>Baths</t>
  </si>
  <si>
    <t>Sq. Ft.</t>
  </si>
  <si>
    <t>Rent</t>
  </si>
  <si>
    <t># of Units</t>
  </si>
  <si>
    <t>Subtotal</t>
  </si>
  <si>
    <t>Totals</t>
  </si>
  <si>
    <t>Per Unit Avg</t>
  </si>
  <si>
    <t>Units</t>
  </si>
  <si>
    <t>Other Income</t>
  </si>
  <si>
    <t>Miscellaneous &amp; Interest</t>
  </si>
  <si>
    <t>Laundry</t>
  </si>
  <si>
    <t>Tenant Charges (late fees, nonsufficient funds, etc)</t>
  </si>
  <si>
    <t>Monthly</t>
  </si>
  <si>
    <t>Annually</t>
  </si>
  <si>
    <t>Gross Rent Potential</t>
  </si>
  <si>
    <t>Other Revenue</t>
  </si>
  <si>
    <t>Combined Vacancy Factor</t>
  </si>
  <si>
    <t>Net Income</t>
  </si>
  <si>
    <t>Advertising</t>
  </si>
  <si>
    <t>Legal/Partnership</t>
  </si>
  <si>
    <t>Accounting/Audit</t>
  </si>
  <si>
    <t>Common Electricity</t>
  </si>
  <si>
    <t>Water/Sewer</t>
  </si>
  <si>
    <t>Insurance</t>
  </si>
  <si>
    <t>Replacement Reserve</t>
  </si>
  <si>
    <t>Annual</t>
  </si>
  <si>
    <t>Per Unit</t>
  </si>
  <si>
    <t>Total Units</t>
  </si>
  <si>
    <t>Net Operating Income</t>
  </si>
  <si>
    <t>Cash Flow</t>
  </si>
  <si>
    <t>Sources</t>
  </si>
  <si>
    <t>REVENUE</t>
  </si>
  <si>
    <t>OPERATING EXPENSES</t>
  </si>
  <si>
    <t>Acquisition</t>
  </si>
  <si>
    <t>Developer Fee</t>
  </si>
  <si>
    <t>Total</t>
  </si>
  <si>
    <t>Total Operating Expenses</t>
  </si>
  <si>
    <t>MORTGAGE</t>
  </si>
  <si>
    <t>Debt Coverage Ratio</t>
  </si>
  <si>
    <t>Max Mortgage Pmt</t>
  </si>
  <si>
    <t>Amortization (years)</t>
  </si>
  <si>
    <t>Interest Rate</t>
  </si>
  <si>
    <t>Debt Service</t>
  </si>
  <si>
    <t>Operating Deficit Reserve Analysis</t>
  </si>
  <si>
    <t>Annual Operating Deficit</t>
  </si>
  <si>
    <t>Starting Balance</t>
  </si>
  <si>
    <t>Ending Balance</t>
  </si>
  <si>
    <t>Interest Earned</t>
  </si>
  <si>
    <t>Inflator</t>
  </si>
  <si>
    <t>USES OF FUNDS</t>
  </si>
  <si>
    <t>SUB-TOTAL USES</t>
  </si>
  <si>
    <t>SOURCES OF FUNDS</t>
  </si>
  <si>
    <t>SUB-TOTAL SOURCES</t>
  </si>
  <si>
    <t>Construction Loan</t>
  </si>
  <si>
    <t>Budget</t>
  </si>
  <si>
    <t>Month</t>
  </si>
  <si>
    <t xml:space="preserve">Trial </t>
  </si>
  <si>
    <t>Balance</t>
  </si>
  <si>
    <t>Variance</t>
  </si>
  <si>
    <t>Prior Month Ending Cash</t>
  </si>
  <si>
    <t>Construction Loan Draw</t>
  </si>
  <si>
    <t>% of Total</t>
  </si>
  <si>
    <t>Year</t>
  </si>
  <si>
    <t>DEVELOPMENT BUDGET</t>
  </si>
  <si>
    <t>Survey</t>
  </si>
  <si>
    <t>Total Acquisition:</t>
  </si>
  <si>
    <t>per sq. ft.</t>
  </si>
  <si>
    <t>Contractor Overhead</t>
  </si>
  <si>
    <t>Contractor Profit</t>
  </si>
  <si>
    <t>OPERATING BUDGET</t>
  </si>
  <si>
    <t>REVENUE PROJECTIONS</t>
  </si>
  <si>
    <t>County:</t>
  </si>
  <si>
    <t>Unit Mix</t>
  </si>
  <si>
    <t>Efficiency</t>
  </si>
  <si>
    <t>Avg Monthly Rent:</t>
  </si>
  <si>
    <t>Gross Rent Potential:</t>
  </si>
  <si>
    <t>Operating Expenses:</t>
  </si>
  <si>
    <t>Cash Flow:</t>
  </si>
  <si>
    <t>Debt Coverage Ratio:</t>
  </si>
  <si>
    <t>Net Operating Income:</t>
  </si>
  <si>
    <t>Other Income:</t>
  </si>
  <si>
    <t>Development Costs</t>
  </si>
  <si>
    <t>Total Development Costs</t>
  </si>
  <si>
    <t>Total Sources</t>
  </si>
  <si>
    <t>PROJECT SUMMARY</t>
  </si>
  <si>
    <t>TAX CREDIT EQUITY</t>
  </si>
  <si>
    <t>Total Eligible Basis</t>
  </si>
  <si>
    <t>Acquisition Basis</t>
  </si>
  <si>
    <t>Rehab/Construction Basis</t>
  </si>
  <si>
    <t>Affordable Units</t>
  </si>
  <si>
    <t>Equity Pricing (per $1.00)</t>
  </si>
  <si>
    <t>Anticipated Equity</t>
  </si>
  <si>
    <t>Annual Acquisition Credit</t>
  </si>
  <si>
    <t>Annual Rehab/Construction Credit</t>
  </si>
  <si>
    <t>Basis Boost</t>
  </si>
  <si>
    <t>Utility Allowances</t>
  </si>
  <si>
    <t>(0 Bedroom)</t>
  </si>
  <si>
    <t>(2 Bedroom)</t>
  </si>
  <si>
    <t>(1 Bedroom)</t>
  </si>
  <si>
    <t>(3 Bedroom)</t>
  </si>
  <si>
    <t>(4 Bedroom)</t>
  </si>
  <si>
    <t>Notes</t>
  </si>
  <si>
    <t>Project Information</t>
  </si>
  <si>
    <t>City:</t>
  </si>
  <si>
    <t>Zip Code:</t>
  </si>
  <si>
    <t>Developer/Sponsor/Owner Information</t>
  </si>
  <si>
    <t>Total Square Feet:</t>
  </si>
  <si>
    <t>Avg SqFt/Unit:</t>
  </si>
  <si>
    <t>3 BR Units</t>
  </si>
  <si>
    <t>Market Rate</t>
  </si>
  <si>
    <t>1 BR Units</t>
  </si>
  <si>
    <t>4 BR Units</t>
  </si>
  <si>
    <t>2 BR Units</t>
  </si>
  <si>
    <t>1 BR</t>
  </si>
  <si>
    <t>2 BR</t>
  </si>
  <si>
    <t>3 BR</t>
  </si>
  <si>
    <t>4 BR</t>
  </si>
  <si>
    <t xml:space="preserve">Total </t>
  </si>
  <si>
    <t>% Revenue</t>
  </si>
  <si>
    <t>Per SqFt</t>
  </si>
  <si>
    <t>Net Revenue</t>
  </si>
  <si>
    <t>Tax Credit GROSS Rent Limits</t>
  </si>
  <si>
    <t>General Requirements</t>
  </si>
  <si>
    <t>Capitalized Operating Deficit Account</t>
  </si>
  <si>
    <t>Actual Equity</t>
  </si>
  <si>
    <t>Operating Reserve</t>
  </si>
  <si>
    <t>20 Yr Operating Projection</t>
  </si>
  <si>
    <t>Construction Period Cash Flow</t>
  </si>
  <si>
    <t>Calculated Mortgage</t>
  </si>
  <si>
    <t>Actual Mortgage</t>
  </si>
  <si>
    <t>Actual Mortgage Payment (annual)</t>
  </si>
  <si>
    <t>Management Fee</t>
  </si>
  <si>
    <t xml:space="preserve">Other: </t>
  </si>
  <si>
    <t>Gross Rent</t>
  </si>
  <si>
    <t>UA</t>
  </si>
  <si>
    <t>0 BR Units (Eff)</t>
  </si>
  <si>
    <t>RESERVES &amp; START UP</t>
  </si>
  <si>
    <t>FF&amp;E</t>
  </si>
  <si>
    <t>Other:</t>
  </si>
  <si>
    <t>Rent Up Reserve</t>
  </si>
  <si>
    <t>Capitalized Replacement Reserve</t>
  </si>
  <si>
    <t>Appraisal</t>
  </si>
  <si>
    <t>Construction Contingency</t>
  </si>
  <si>
    <t>Total Reserves &amp; Startup:</t>
  </si>
  <si>
    <t>Year 1</t>
  </si>
  <si>
    <t>Construction Interest (see below)</t>
  </si>
  <si>
    <t>Construction Loan Payment</t>
  </si>
  <si>
    <t>Balance (Principal Only)</t>
  </si>
  <si>
    <t>Ending Monthly Cash</t>
  </si>
  <si>
    <t>Incl. Construction Int.</t>
  </si>
  <si>
    <t>PUPY</t>
  </si>
  <si>
    <t>Telephone</t>
  </si>
  <si>
    <t>Security</t>
  </si>
  <si>
    <t>Grounds</t>
  </si>
  <si>
    <t>Natural Gas/Oil/Other</t>
  </si>
  <si>
    <t>Household Income Limits</t>
  </si>
  <si>
    <t>LIHTC Basis</t>
  </si>
  <si>
    <t>Included in</t>
  </si>
  <si>
    <t>Deferred Developer Fee</t>
  </si>
  <si>
    <t>Payment</t>
  </si>
  <si>
    <t>INITIAL CASH FLOW</t>
  </si>
  <si>
    <t>Rehab/Construction Credit Rate</t>
  </si>
  <si>
    <t>Utilities</t>
  </si>
  <si>
    <t>Project Name:</t>
  </si>
  <si>
    <t>Neighborhood:</t>
  </si>
  <si>
    <t>Street Address:</t>
  </si>
  <si>
    <t>LIHTC Equity</t>
  </si>
  <si>
    <t>Residential Construction/Rehab</t>
  </si>
  <si>
    <t>Tot. Sq Ft</t>
  </si>
  <si>
    <t>Rent (Mo)</t>
  </si>
  <si>
    <t>Rent (Yr)</t>
  </si>
  <si>
    <t>Tot. Sq. ft.</t>
  </si>
  <si>
    <t>80% AMI</t>
  </si>
  <si>
    <t>0 BR</t>
  </si>
  <si>
    <t>N/A</t>
  </si>
  <si>
    <t>General &amp; Admin</t>
  </si>
  <si>
    <t>Leased Equipment</t>
  </si>
  <si>
    <t>Postage/Office Supplies</t>
  </si>
  <si>
    <t>Payroll/Tax/Fringe</t>
  </si>
  <si>
    <t>Management</t>
  </si>
  <si>
    <t>Maintenance</t>
  </si>
  <si>
    <t>Trash</t>
  </si>
  <si>
    <t>Property Tax/PILOT</t>
  </si>
  <si>
    <t>Other</t>
  </si>
  <si>
    <t>Repairs &amp; Maintenance</t>
  </si>
  <si>
    <t>Pool</t>
  </si>
  <si>
    <t>Demolition</t>
  </si>
  <si>
    <t>SITE WORK</t>
  </si>
  <si>
    <t>OFFSITE COSTS</t>
  </si>
  <si>
    <t>Site Work (grading, on site infrastructure, etc)</t>
  </si>
  <si>
    <t>SITE AMENITIES</t>
  </si>
  <si>
    <t>Landscaping</t>
  </si>
  <si>
    <t>Pool &amp; decking</t>
  </si>
  <si>
    <t>Athletic Courts/Playgrounds</t>
  </si>
  <si>
    <t>Fencing</t>
  </si>
  <si>
    <t>Accessory Structures (e.g. community/maintenance bldgs, carports/garages, etc.)</t>
  </si>
  <si>
    <t>BUILDING COSTS</t>
  </si>
  <si>
    <t>Total Building &amp; Site Work:</t>
  </si>
  <si>
    <t>Subtotal:</t>
  </si>
  <si>
    <t>SOFT COSTS</t>
  </si>
  <si>
    <t>Architectural - Design fees</t>
  </si>
  <si>
    <t>Architectural - Supervision fees</t>
  </si>
  <si>
    <t>Engineering fees</t>
  </si>
  <si>
    <t>Real property taxes</t>
  </si>
  <si>
    <t>Tenant Relocation</t>
  </si>
  <si>
    <t>Total Soft Costs:</t>
  </si>
  <si>
    <t>FINANCING</t>
  </si>
  <si>
    <t>Interest</t>
  </si>
  <si>
    <t>Loan origination fees</t>
  </si>
  <si>
    <t>Title &amp; recording fees</t>
  </si>
  <si>
    <t>Closing costs &amp; legal fees</t>
  </si>
  <si>
    <t>Inspection fees</t>
  </si>
  <si>
    <t>Credit Report</t>
  </si>
  <si>
    <t>Discount Points</t>
  </si>
  <si>
    <t>Permanent Loan(s)</t>
  </si>
  <si>
    <t>Construction Loan(s)</t>
  </si>
  <si>
    <t>Bond premium</t>
  </si>
  <si>
    <t>Credit report</t>
  </si>
  <si>
    <t>Discount points</t>
  </si>
  <si>
    <t>Credit enhancement fees</t>
  </si>
  <si>
    <t>Prepaid MIP</t>
  </si>
  <si>
    <t>Bridge Loan(s)</t>
  </si>
  <si>
    <t>Other Financing Costs</t>
  </si>
  <si>
    <t>Performance bonds</t>
  </si>
  <si>
    <t>Total Financing:</t>
  </si>
  <si>
    <t>DEVELOPER FEE</t>
  </si>
  <si>
    <t>Total Dev. Fee</t>
  </si>
  <si>
    <t>TDC Less Fee</t>
  </si>
  <si>
    <t>Contractor Fees</t>
  </si>
  <si>
    <t>of construction</t>
  </si>
  <si>
    <t>Subtotal Construction w/o Fees:</t>
  </si>
  <si>
    <t>Maximum Annual Credit</t>
  </si>
  <si>
    <t>Credit Award Sought</t>
  </si>
  <si>
    <t>Offsite Costs</t>
  </si>
  <si>
    <t>Site Work and Construction</t>
  </si>
  <si>
    <t>Soft Costs</t>
  </si>
  <si>
    <t>Reserves &amp; Start Up</t>
  </si>
  <si>
    <t>Total Offsite:</t>
  </si>
  <si>
    <t>Financing Costs</t>
  </si>
  <si>
    <t>Identity of Interest?</t>
  </si>
  <si>
    <t>TOTAL DEVELOPMENT COSTS (TDC):</t>
  </si>
  <si>
    <t>Initial Cash Flow (i.e. Surplus Cash)</t>
  </si>
  <si>
    <t>Available Cash (After DDF)</t>
  </si>
  <si>
    <t>Rate</t>
  </si>
  <si>
    <t>Principal Forward</t>
  </si>
  <si>
    <t>Accrued Interest</t>
  </si>
  <si>
    <t>Current Interest</t>
  </si>
  <si>
    <t>Interest Paid</t>
  </si>
  <si>
    <t>Interest Forward</t>
  </si>
  <si>
    <t>Principal Paid</t>
  </si>
  <si>
    <t>Ending Principal</t>
  </si>
  <si>
    <t>Financing Costs (Exc. Construction Interest)</t>
  </si>
  <si>
    <t>Explain any differences between maximum annual credit (calculated on total basis) and actual credit award sought (e.g. QAP caps award, voluntary reduction in basis, etc.):</t>
  </si>
  <si>
    <t>Dev/Owner/Sponsor:</t>
  </si>
  <si>
    <t>Email:</t>
  </si>
  <si>
    <t>Contact Person:</t>
  </si>
  <si>
    <t>High HOME</t>
  </si>
  <si>
    <t>Cleaning &amp; Decorating</t>
  </si>
  <si>
    <t>Supportive Services &amp; Coordination</t>
  </si>
  <si>
    <t>Soil Testing / Geotechnical</t>
  </si>
  <si>
    <t>Water &amp; Sewer Tap Fees</t>
  </si>
  <si>
    <t>Permits</t>
  </si>
  <si>
    <t>Title &amp; Recording Fees</t>
  </si>
  <si>
    <t>Lender Due Diligence Fee</t>
  </si>
  <si>
    <t>Lender Legal</t>
  </si>
  <si>
    <t>Construction Insurance</t>
  </si>
  <si>
    <t>Project Security</t>
  </si>
  <si>
    <t>Market Study / Traffic Study</t>
  </si>
  <si>
    <t>Environmental (Ph I &amp; Ph II)</t>
  </si>
  <si>
    <t>Borrower Legal</t>
  </si>
  <si>
    <t>Accounting</t>
  </si>
  <si>
    <t>Organizational Costs</t>
  </si>
  <si>
    <t>TDC</t>
  </si>
  <si>
    <t>Combined Cap</t>
  </si>
  <si>
    <t>Less Fee</t>
  </si>
  <si>
    <t>Less Organization/Syndication</t>
  </si>
  <si>
    <t>Less Reserves/Startup</t>
  </si>
  <si>
    <t>Subtotal for Calc</t>
  </si>
  <si>
    <t>Subtotal for Fee Calculation</t>
  </si>
  <si>
    <t>Overage</t>
  </si>
  <si>
    <t>Notes:</t>
  </si>
  <si>
    <t>Margin to 20% Cap</t>
  </si>
  <si>
    <t>LIHTC Limit</t>
  </si>
  <si>
    <t>San Antonio-New Braunfels, TX HUD Metro FMR Area</t>
  </si>
  <si>
    <t>Eff. Yr.</t>
  </si>
  <si>
    <t>70% AMI</t>
  </si>
  <si>
    <t>Gross Rent Limits</t>
  </si>
  <si>
    <t>Low-HOME</t>
  </si>
  <si>
    <t>FMR</t>
  </si>
  <si>
    <t>HTF</t>
  </si>
  <si>
    <t>0 Bedroom</t>
  </si>
  <si>
    <t xml:space="preserve">1 Bedroom  </t>
  </si>
  <si>
    <t>2 Bedrooms</t>
  </si>
  <si>
    <t>3 Bedrooms</t>
  </si>
  <si>
    <t>4 Bedrooms</t>
  </si>
  <si>
    <t>20%AMI</t>
  </si>
  <si>
    <t>0 Bedrooms</t>
  </si>
  <si>
    <t>Tax Credit CONTRACT Rent Limits</t>
  </si>
  <si>
    <t>Mkt</t>
  </si>
  <si>
    <t>AMI/HH Size</t>
  </si>
  <si>
    <t>Site acquisition cost</t>
  </si>
  <si>
    <t>Existing building acquisition cost</t>
  </si>
  <si>
    <t>Closing costs &amp; acq. legal fees</t>
  </si>
  <si>
    <t>ACQUISITION</t>
  </si>
  <si>
    <t>Tax credit fees</t>
  </si>
  <si>
    <t>Tax and/or bond counsel</t>
  </si>
  <si>
    <t>Payment bonds</t>
  </si>
  <si>
    <t>Mortgage insurance premiums</t>
  </si>
  <si>
    <t>Cost of underwriting &amp; issuance</t>
  </si>
  <si>
    <t>Syndication organizational cost</t>
  </si>
  <si>
    <t>Tax opinion</t>
  </si>
  <si>
    <t>Developer Consultant</t>
  </si>
  <si>
    <t>Max Developer Fee - Per Housing Bond UW Criteria</t>
  </si>
  <si>
    <t>Closing costs &amp; legal</t>
  </si>
  <si>
    <t>HOME Eligible</t>
  </si>
  <si>
    <t>Applicable Fraction (Applied)</t>
  </si>
  <si>
    <t>Applicable Fraction (Calc by Units)</t>
  </si>
  <si>
    <t xml:space="preserve">Acq. Credit Rate </t>
  </si>
  <si>
    <t>Investor Percentage</t>
  </si>
  <si>
    <t xml:space="preserve">% AMI </t>
  </si>
  <si>
    <t>Vacancy</t>
  </si>
  <si>
    <t>Actual DCR</t>
  </si>
  <si>
    <t>20% Tot Cap</t>
  </si>
  <si>
    <t>Max Fee w/in Cap</t>
  </si>
  <si>
    <t>Initial Delivery of Units</t>
  </si>
  <si>
    <t>Break Even</t>
  </si>
  <si>
    <t>Monthly Net</t>
  </si>
  <si>
    <t>Lease Up/Stablization</t>
  </si>
  <si>
    <t>Sum of Monthly Deficits</t>
  </si>
  <si>
    <t>Sum of Monthly NOI</t>
  </si>
  <si>
    <t>Permanent Conversion</t>
  </si>
  <si>
    <t>Units Leased</t>
  </si>
  <si>
    <t>Percent Leased</t>
  </si>
  <si>
    <t>Monthly Rent</t>
  </si>
  <si>
    <t>Monthly OpEx</t>
  </si>
  <si>
    <t>Monthly Reserve Dep</t>
  </si>
  <si>
    <t>Net Pre-conversion NOI</t>
  </si>
  <si>
    <t>Rent Potential</t>
  </si>
  <si>
    <t>OpEx (less RR)</t>
  </si>
  <si>
    <t>Repl Reserve</t>
  </si>
  <si>
    <t>RR Dep Start at:</t>
  </si>
  <si>
    <t>NOI as Source</t>
  </si>
  <si>
    <t>Elevator</t>
  </si>
  <si>
    <t>Exterminating</t>
  </si>
  <si>
    <t>Cable TV</t>
  </si>
  <si>
    <t>TDHCA Compliance Fees</t>
  </si>
  <si>
    <t>TDHCA Bond Admin Fees</t>
  </si>
  <si>
    <t>City Annual Monitoring Fee</t>
  </si>
  <si>
    <t>Inside Contract</t>
  </si>
  <si>
    <t>Outside of Contract</t>
  </si>
  <si>
    <t>Total Architect (% of Contract less Builder Fees):</t>
  </si>
  <si>
    <t>Permanent Mortgage</t>
  </si>
  <si>
    <t>Total A&amp;E (% of contract less builder fees):</t>
  </si>
  <si>
    <t>Operating Margin (Intital Cash Flow/(Total Op Expense+Debt Service)</t>
  </si>
  <si>
    <t>Cash Flow Over 15 Years:</t>
  </si>
  <si>
    <t>Cash Flow Over 20 Years:</t>
  </si>
  <si>
    <t xml:space="preserve">To Deferred Fee </t>
  </si>
  <si>
    <r>
      <t xml:space="preserve">Deferred Developer Fee - </t>
    </r>
    <r>
      <rPr>
        <i/>
        <sz val="10"/>
        <rFont val="Arial"/>
        <family val="2"/>
      </rPr>
      <t>Assuming City Loan Pmts Begin After DDF</t>
    </r>
  </si>
  <si>
    <t xml:space="preserve">Payment on City Loan(s) - % of Available Cash Flow </t>
  </si>
  <si>
    <t>City UW std: 7.5%</t>
  </si>
  <si>
    <t>May allow lower fee with IOI Mgt, but not less than 3%</t>
  </si>
  <si>
    <t>City std: $300 PUPY Family; $250 PUPY Sr; $300 Rehab Min +CNA</t>
  </si>
  <si>
    <t>City std: 1.15 for affordability period; if too high, may require higher mortg.</t>
  </si>
  <si>
    <t>See below for calculation of max. developer fee</t>
  </si>
  <si>
    <t>If included in basis, may require documentation from accountant</t>
  </si>
  <si>
    <t>Review variance from modeled interest to ensure reasonable</t>
  </si>
  <si>
    <t>From Long Term Cash Flow:</t>
  </si>
  <si>
    <t>Interest Modeled from Construction Cash Flow:</t>
  </si>
  <si>
    <r>
      <t xml:space="preserve">Other Construction </t>
    </r>
    <r>
      <rPr>
        <i/>
        <sz val="10"/>
        <rFont val="Bierstadt"/>
        <family val="2"/>
      </rPr>
      <t>(inside contract)</t>
    </r>
  </si>
  <si>
    <r>
      <rPr>
        <b/>
        <i/>
        <sz val="10"/>
        <rFont val="Bierstadt"/>
        <family val="2"/>
      </rPr>
      <t>Note</t>
    </r>
    <r>
      <rPr>
        <i/>
        <sz val="10"/>
        <rFont val="Bierstadt"/>
        <family val="2"/>
      </rPr>
      <t>: Data below is locked to prevent overwriting.  The City will update when updated income/rent limits are available.</t>
    </r>
  </si>
  <si>
    <r>
      <rPr>
        <i/>
        <sz val="10"/>
        <color rgb="FFFF0000"/>
        <rFont val="Wingdings 3"/>
        <family val="1"/>
        <charset val="2"/>
      </rPr>
      <t>ÑÑ</t>
    </r>
    <r>
      <rPr>
        <i/>
        <sz val="10"/>
        <color rgb="FFFF0000"/>
        <rFont val="Bierstadt"/>
        <family val="2"/>
      </rPr>
      <t xml:space="preserve"> Use the +/- signs outside the sheet to the left to show/hide rows for units sizes not included in the project.  Be sure no data is entered in hidden rows.</t>
    </r>
  </si>
  <si>
    <t>Gross</t>
  </si>
  <si>
    <t>Remaining Cash Flow (After City Pmt)</t>
  </si>
  <si>
    <t>Monthly (Deficit)/Surplus</t>
  </si>
  <si>
    <t>NOI Underwriting Factor</t>
  </si>
  <si>
    <t>City of San Antonio (Source)</t>
  </si>
  <si>
    <t>(Enter dates as 1st of month, will show as MM/YYYY)</t>
  </si>
  <si>
    <t>Site Work &amp; Construction</t>
  </si>
  <si>
    <t>Net Operating Income Preconversion</t>
  </si>
  <si>
    <r>
      <rPr>
        <b/>
        <sz val="11"/>
        <color indexed="10"/>
        <rFont val="Bierstadt"/>
        <family val="2"/>
      </rPr>
      <t xml:space="preserve">(Gap) </t>
    </r>
    <r>
      <rPr>
        <b/>
        <sz val="11"/>
        <color indexed="56"/>
        <rFont val="Bierstadt"/>
        <family val="2"/>
      </rPr>
      <t>or Surplus</t>
    </r>
  </si>
  <si>
    <r>
      <rPr>
        <sz val="10"/>
        <rFont val="Calibri"/>
        <family val="2"/>
      </rPr>
      <t xml:space="preserve">•  </t>
    </r>
    <r>
      <rPr>
        <sz val="10"/>
        <rFont val="Bierstadt"/>
        <family val="2"/>
      </rPr>
      <t>Worksheets are protect to avoid accidental overwriting of formulas.</t>
    </r>
  </si>
  <si>
    <t>•  Unhighlighted (or white) cells contain formulas and are protected to prevent overwriting formulas. Input cells are indicated by three other forms of shading.</t>
  </si>
  <si>
    <t>•  Cells highlighted in light yellow are input cells. In a few obvious cases, the input will be text, e.g., the name of the development or identifying a funding source.  Most yellow cells, however, call for numerical inputs. When entering dollar figures, try to use whole dollars rather than dollars and cents.</t>
  </si>
  <si>
    <t>•  Cells highlighted in light orange are also input cells but are separately highlighted because they may get checked against a calculated value or may represent a non-standard assumption. Often there is a reference figure calculated from someplace else in the proforma next to the orange cell.  This is intended to help avoid circular references.</t>
  </si>
  <si>
    <t>•  Most input cells are for the input of numbers.  In most cases, a formula can also be written in an input cell if appropriate.  In some cases, there are initial formulas in input cells that can be overridden later. For example, the permanent mortgage will initially be tied to the calculated mortgage, but once a given loan amount it finalized, that exact amount can be entered. In a few cases, input cells have drop down menus, limiting the potential inputs. These relate to later programming variations based on specific assumptions indicated by those pre-defined alternatives.</t>
  </si>
  <si>
    <t>•  Cells highlighten in green are prefilled with City underwriting standards, but are not locked. Note that use of an alternative standard will be in the City's sole discretion; the City reserves the right in all cases to strictly apply its UW metrics.</t>
  </si>
  <si>
    <t>No</t>
  </si>
  <si>
    <t>Max Fee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</si>
</sst>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 numFmtId="168" formatCode="_(&quot;$&quot;* #,##0_);_(&quot;$&quot;* \(#,##0\);_(&quot;$&quot;* &quot;-&quot;??_);_(@_)"/>
    <numFmt numFmtId="169" formatCode="General_)"/>
    <numFmt numFmtId="170" formatCode="&quot;$&quot;#,##0.00"/>
    <numFmt numFmtId="171" formatCode="0.0"/>
    <numFmt numFmtId="172" formatCode="&quot;$&quot;#,##0.0000_);[Red]\(&quot;$&quot;#,##0.0000\)"/>
    <numFmt numFmtId="173" formatCode="mmm\-yyyy"/>
  </numFmts>
  <fonts count="8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0"/>
      <name val="Geneva"/>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8"/>
      <name val="Times New Roman"/>
      <family val="1"/>
    </font>
    <font>
      <b/>
      <sz val="11"/>
      <color indexed="63"/>
      <name val="Calibri"/>
      <family val="2"/>
    </font>
    <font>
      <b/>
      <sz val="18"/>
      <color indexed="62"/>
      <name val="Cambria"/>
      <family val="2"/>
    </font>
    <font>
      <b/>
      <sz val="11"/>
      <color indexed="8"/>
      <name val="Calibri"/>
      <family val="2"/>
    </font>
    <font>
      <b/>
      <sz val="12"/>
      <name val="Arial"/>
      <family val="2"/>
    </font>
    <font>
      <i/>
      <sz val="10"/>
      <name val="Arial"/>
      <family val="2"/>
    </font>
    <font>
      <sz val="8"/>
      <color indexed="81"/>
      <name val="Tahoma"/>
      <family val="2"/>
    </font>
    <font>
      <b/>
      <sz val="8"/>
      <color indexed="81"/>
      <name val="Tahoma"/>
      <family val="2"/>
    </font>
    <font>
      <sz val="10"/>
      <name val="Arial"/>
      <family val="2"/>
    </font>
    <font>
      <u/>
      <sz val="9"/>
      <name val="Arial"/>
      <family val="2"/>
    </font>
    <font>
      <sz val="10"/>
      <color rgb="FFFF0000"/>
      <name val="Arial"/>
      <family val="2"/>
    </font>
    <font>
      <sz val="10"/>
      <name val="Bierstadt"/>
      <family val="2"/>
    </font>
    <font>
      <sz val="10"/>
      <color theme="1"/>
      <name val="Bierstadt"/>
      <family val="2"/>
    </font>
    <font>
      <b/>
      <sz val="10"/>
      <name val="Bierstadt"/>
      <family val="2"/>
    </font>
    <font>
      <u/>
      <sz val="10"/>
      <name val="Bierstadt"/>
      <family val="2"/>
    </font>
    <font>
      <i/>
      <sz val="10"/>
      <name val="Bierstadt"/>
      <family val="2"/>
    </font>
    <font>
      <b/>
      <sz val="10"/>
      <color theme="1"/>
      <name val="Bierstadt"/>
      <family val="2"/>
    </font>
    <font>
      <b/>
      <sz val="9"/>
      <color theme="1"/>
      <name val="Bierstadt"/>
      <family val="2"/>
    </font>
    <font>
      <sz val="10"/>
      <color theme="0"/>
      <name val="Arial"/>
      <family val="2"/>
    </font>
    <font>
      <sz val="11"/>
      <color theme="1"/>
      <name val="Arial"/>
      <family val="2"/>
    </font>
    <font>
      <sz val="11"/>
      <color rgb="FF9C0006"/>
      <name val="Calibri"/>
      <family val="2"/>
      <scheme val="minor"/>
    </font>
    <font>
      <u/>
      <sz val="11"/>
      <color theme="10"/>
      <name val="Arial"/>
      <family val="2"/>
    </font>
    <font>
      <sz val="11"/>
      <color indexed="8"/>
      <name val="Calibri"/>
      <family val="2"/>
      <scheme val="minor"/>
    </font>
    <font>
      <sz val="9"/>
      <color indexed="81"/>
      <name val="Tahoma"/>
      <family val="2"/>
    </font>
    <font>
      <b/>
      <sz val="9"/>
      <color indexed="81"/>
      <name val="Tahoma"/>
      <family val="2"/>
    </font>
    <font>
      <i/>
      <sz val="9"/>
      <name val="Bierstadt"/>
      <family val="2"/>
    </font>
    <font>
      <b/>
      <sz val="12"/>
      <name val="Bierstadt"/>
      <family val="2"/>
    </font>
    <font>
      <sz val="12"/>
      <name val="Bierstadt"/>
      <family val="2"/>
    </font>
    <font>
      <sz val="9"/>
      <name val="Bierstadt"/>
      <family val="2"/>
    </font>
    <font>
      <b/>
      <sz val="9"/>
      <name val="Bierstadt"/>
      <family val="2"/>
    </font>
    <font>
      <b/>
      <sz val="9"/>
      <color rgb="FFFF0000"/>
      <name val="Bierstadt"/>
      <family val="2"/>
    </font>
    <font>
      <b/>
      <i/>
      <sz val="10"/>
      <name val="Bierstadt"/>
      <family val="2"/>
    </font>
    <font>
      <b/>
      <sz val="10"/>
      <color rgb="FFFF0000"/>
      <name val="Bierstadt"/>
      <family val="2"/>
    </font>
    <font>
      <sz val="9.5"/>
      <name val="Bierstadt"/>
      <family val="2"/>
    </font>
    <font>
      <sz val="11"/>
      <name val="Bierstadt"/>
      <family val="2"/>
    </font>
    <font>
      <sz val="10"/>
      <color indexed="8"/>
      <name val="Bierstadt"/>
      <family val="2"/>
    </font>
    <font>
      <b/>
      <sz val="11"/>
      <name val="Bierstadt"/>
      <family val="2"/>
    </font>
    <font>
      <b/>
      <sz val="10"/>
      <color indexed="8"/>
      <name val="Bierstadt"/>
      <family val="2"/>
    </font>
    <font>
      <sz val="9"/>
      <color indexed="8"/>
      <name val="Bierstadt"/>
      <family val="2"/>
    </font>
    <font>
      <b/>
      <sz val="9"/>
      <color indexed="8"/>
      <name val="Bierstadt"/>
      <family val="2"/>
    </font>
    <font>
      <i/>
      <sz val="9"/>
      <color indexed="8"/>
      <name val="Bierstadt"/>
      <family val="2"/>
    </font>
    <font>
      <b/>
      <i/>
      <sz val="9"/>
      <color indexed="8"/>
      <name val="Bierstadt"/>
      <family val="2"/>
    </font>
    <font>
      <i/>
      <sz val="10"/>
      <color indexed="8"/>
      <name val="Bierstadt"/>
      <family val="2"/>
    </font>
    <font>
      <b/>
      <sz val="10"/>
      <color indexed="56"/>
      <name val="Bierstadt"/>
      <family val="2"/>
    </font>
    <font>
      <b/>
      <i/>
      <sz val="10"/>
      <color indexed="56"/>
      <name val="Bierstadt"/>
      <family val="2"/>
    </font>
    <font>
      <sz val="11"/>
      <color indexed="56"/>
      <name val="Bierstadt"/>
      <family val="2"/>
    </font>
    <font>
      <b/>
      <sz val="11"/>
      <color indexed="56"/>
      <name val="Bierstadt"/>
      <family val="2"/>
    </font>
    <font>
      <b/>
      <sz val="11"/>
      <color indexed="10"/>
      <name val="Bierstadt"/>
      <family val="2"/>
    </font>
    <font>
      <b/>
      <sz val="11"/>
      <color indexed="18"/>
      <name val="Bierstadt"/>
      <family val="2"/>
    </font>
    <font>
      <b/>
      <sz val="11"/>
      <color indexed="8"/>
      <name val="Bierstadt"/>
      <family val="2"/>
    </font>
    <font>
      <sz val="10"/>
      <color theme="0"/>
      <name val="Bierstadt"/>
      <family val="2"/>
    </font>
    <font>
      <i/>
      <sz val="10"/>
      <color rgb="FFFF0000"/>
      <name val="Bierstadt"/>
      <family val="2"/>
    </font>
    <font>
      <sz val="10"/>
      <color indexed="60"/>
      <name val="Bierstadt"/>
      <family val="2"/>
    </font>
    <font>
      <sz val="10"/>
      <name val="Bierstadt"/>
      <family val="1"/>
      <charset val="2"/>
    </font>
    <font>
      <i/>
      <sz val="10"/>
      <color rgb="FFFF0000"/>
      <name val="Bierstadt"/>
      <family val="1"/>
      <charset val="2"/>
    </font>
    <font>
      <i/>
      <sz val="10"/>
      <color rgb="FFFF0000"/>
      <name val="Wingdings 3"/>
      <family val="1"/>
      <charset val="2"/>
    </font>
    <font>
      <sz val="8"/>
      <name val="Bierstadt"/>
      <family val="2"/>
    </font>
    <font>
      <b/>
      <sz val="8"/>
      <name val="Bierstadt"/>
      <family val="2"/>
    </font>
    <font>
      <sz val="10"/>
      <color theme="1" tint="0.499984740745262"/>
      <name val="Bierstadt"/>
      <family val="2"/>
    </font>
    <font>
      <sz val="10"/>
      <name val="Calibri"/>
      <family val="2"/>
    </font>
    <font>
      <sz val="10"/>
      <name val="Bierstadt"/>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C7CE"/>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9"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25">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43" fontId="2" fillId="0" borderId="0" applyFont="0" applyFill="0" applyBorder="0" applyAlignment="0" applyProtection="0"/>
    <xf numFmtId="43" fontId="28"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7" borderId="0" applyNumberFormat="0" applyBorder="0" applyAlignment="0" applyProtection="0"/>
    <xf numFmtId="169" fontId="20" fillId="0" borderId="0"/>
    <xf numFmtId="0" fontId="6" fillId="0" borderId="0"/>
    <xf numFmtId="0" fontId="2" fillId="4" borderId="7" applyNumberFormat="0" applyFont="0" applyAlignment="0" applyProtection="0"/>
    <xf numFmtId="0" fontId="28" fillId="4" borderId="7" applyNumberFormat="0" applyFont="0" applyAlignment="0" applyProtection="0"/>
    <xf numFmtId="0" fontId="21" fillId="16" borderId="8" applyNumberFormat="0" applyAlignment="0" applyProtection="0"/>
    <xf numFmtId="9" fontId="2" fillId="0" borderId="0" applyFont="0" applyFill="0" applyBorder="0" applyAlignment="0" applyProtection="0"/>
    <xf numFmtId="9" fontId="28"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18" fillId="0" borderId="0" applyNumberFormat="0" applyFill="0" applyBorder="0" applyAlignment="0" applyProtection="0"/>
    <xf numFmtId="0" fontId="39" fillId="0" borderId="0"/>
    <xf numFmtId="9" fontId="39" fillId="0" borderId="0" applyFont="0" applyFill="0" applyBorder="0" applyAlignment="0" applyProtection="0"/>
    <xf numFmtId="0" fontId="1" fillId="0" borderId="0"/>
    <xf numFmtId="44" fontId="7" fillId="0" borderId="0" applyFont="0" applyFill="0" applyBorder="0" applyAlignment="0" applyProtection="0"/>
    <xf numFmtId="9" fontId="7"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40" fillId="26"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1" fillId="0" borderId="0" applyNumberFormat="0" applyFill="0" applyBorder="0" applyAlignment="0" applyProtection="0"/>
    <xf numFmtId="0" fontId="2" fillId="0" borderId="0"/>
    <xf numFmtId="44" fontId="39" fillId="0" borderId="0" applyFont="0" applyFill="0" applyBorder="0" applyAlignment="0" applyProtection="0"/>
    <xf numFmtId="0" fontId="1" fillId="0" borderId="0"/>
    <xf numFmtId="44" fontId="1"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xf numFmtId="9" fontId="39"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41" fillId="0" borderId="0" applyNumberFormat="0" applyFill="0" applyBorder="0" applyAlignment="0" applyProtection="0"/>
    <xf numFmtId="44" fontId="3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9"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27" borderId="0" applyNumberFormat="0" applyBorder="0" applyAlignment="0" applyProtection="0"/>
    <xf numFmtId="0" fontId="42"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9"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27" borderId="0" applyNumberFormat="0" applyBorder="0" applyAlignment="0" applyProtection="0"/>
  </cellStyleXfs>
  <cellXfs count="542">
    <xf numFmtId="0" fontId="0" fillId="0" borderId="0" xfId="0"/>
    <xf numFmtId="0" fontId="3" fillId="0" borderId="0" xfId="0" applyFont="1" applyProtection="1"/>
    <xf numFmtId="6" fontId="0" fillId="0" borderId="0" xfId="0" applyNumberFormat="1" applyProtection="1"/>
    <xf numFmtId="6" fontId="0" fillId="0" borderId="10" xfId="0" applyNumberFormat="1" applyBorder="1" applyProtection="1"/>
    <xf numFmtId="0" fontId="2" fillId="0" borderId="0" xfId="0" applyFont="1" applyProtection="1"/>
    <xf numFmtId="0" fontId="0" fillId="0" borderId="10" xfId="0" applyBorder="1" applyProtection="1"/>
    <xf numFmtId="6" fontId="0" fillId="0" borderId="0" xfId="0" applyNumberFormat="1" applyBorder="1" applyProtection="1"/>
    <xf numFmtId="0" fontId="3" fillId="0" borderId="11" xfId="0" applyFont="1" applyBorder="1" applyProtection="1"/>
    <xf numFmtId="0" fontId="29" fillId="0" borderId="0" xfId="0" applyFont="1" applyAlignment="1" applyProtection="1">
      <alignment horizontal="center"/>
    </xf>
    <xf numFmtId="10" fontId="29" fillId="0" borderId="0" xfId="0" applyNumberFormat="1" applyFont="1" applyProtection="1"/>
    <xf numFmtId="10" fontId="0" fillId="0" borderId="0" xfId="0" applyNumberFormat="1" applyProtection="1"/>
    <xf numFmtId="6" fontId="3" fillId="0" borderId="0" xfId="0" applyNumberFormat="1" applyFont="1" applyProtection="1"/>
    <xf numFmtId="10" fontId="0" fillId="0" borderId="0" xfId="46" applyNumberFormat="1" applyFont="1" applyProtection="1"/>
    <xf numFmtId="9" fontId="0" fillId="0" borderId="0" xfId="0" applyNumberFormat="1" applyFill="1" applyAlignment="1" applyProtection="1">
      <alignment horizontal="center"/>
    </xf>
    <xf numFmtId="10" fontId="0" fillId="0" borderId="10" xfId="0" applyNumberFormat="1" applyBorder="1" applyProtection="1"/>
    <xf numFmtId="164" fontId="0" fillId="0" borderId="0" xfId="46" applyNumberFormat="1" applyFont="1" applyProtection="1"/>
    <xf numFmtId="0" fontId="30" fillId="0" borderId="0" xfId="0" applyFont="1" applyProtection="1"/>
    <xf numFmtId="0" fontId="4" fillId="0" borderId="0" xfId="0" applyFont="1" applyProtection="1"/>
    <xf numFmtId="6" fontId="3" fillId="0" borderId="0" xfId="0" applyNumberFormat="1" applyFont="1" applyAlignment="1" applyProtection="1">
      <alignment horizontal="right"/>
    </xf>
    <xf numFmtId="0" fontId="3" fillId="0" borderId="10" xfId="0" applyFont="1" applyBorder="1" applyProtection="1"/>
    <xf numFmtId="164" fontId="0" fillId="0" borderId="10" xfId="0" applyNumberFormat="1" applyBorder="1" applyProtection="1"/>
    <xf numFmtId="6" fontId="3" fillId="0" borderId="10" xfId="0" applyNumberFormat="1" applyFont="1" applyFill="1" applyBorder="1" applyProtection="1"/>
    <xf numFmtId="0" fontId="3" fillId="0" borderId="0" xfId="0" applyFont="1" applyAlignment="1" applyProtection="1">
      <alignment horizontal="center"/>
    </xf>
    <xf numFmtId="0" fontId="3" fillId="0" borderId="0" xfId="0" applyFont="1" applyBorder="1" applyProtection="1"/>
    <xf numFmtId="0" fontId="0" fillId="0" borderId="0" xfId="0" applyBorder="1" applyProtection="1"/>
    <xf numFmtId="0" fontId="4" fillId="0" borderId="0" xfId="0" applyFont="1" applyAlignment="1" applyProtection="1">
      <alignment horizontal="right"/>
    </xf>
    <xf numFmtId="6" fontId="0" fillId="0" borderId="0" xfId="0" applyNumberFormat="1" applyFill="1" applyBorder="1" applyProtection="1"/>
    <xf numFmtId="0" fontId="0" fillId="0" borderId="13" xfId="0" applyBorder="1" applyProtection="1"/>
    <xf numFmtId="6" fontId="0" fillId="0" borderId="13" xfId="0" applyNumberFormat="1" applyBorder="1" applyProtection="1"/>
    <xf numFmtId="0" fontId="2" fillId="0" borderId="15" xfId="0" applyFont="1" applyBorder="1" applyProtection="1"/>
    <xf numFmtId="0" fontId="2" fillId="0" borderId="12" xfId="0" applyFont="1" applyBorder="1" applyProtection="1"/>
    <xf numFmtId="0" fontId="3" fillId="0" borderId="10" xfId="0" applyFont="1" applyFill="1" applyBorder="1" applyProtection="1"/>
    <xf numFmtId="0" fontId="2" fillId="0" borderId="15" xfId="0" applyFont="1" applyFill="1" applyBorder="1" applyProtection="1"/>
    <xf numFmtId="6" fontId="2" fillId="0" borderId="12" xfId="0" applyNumberFormat="1" applyFont="1" applyBorder="1" applyProtection="1"/>
    <xf numFmtId="0" fontId="3" fillId="0" borderId="22" xfId="0" applyFont="1" applyFill="1" applyBorder="1" applyProtection="1"/>
    <xf numFmtId="0" fontId="0" fillId="0" borderId="22" xfId="0" applyBorder="1" applyProtection="1"/>
    <xf numFmtId="6" fontId="0" fillId="0" borderId="22" xfId="0" applyNumberFormat="1" applyBorder="1" applyProtection="1"/>
    <xf numFmtId="0" fontId="4" fillId="0" borderId="24" xfId="0" applyFont="1" applyBorder="1" applyProtection="1"/>
    <xf numFmtId="6" fontId="0" fillId="0" borderId="20" xfId="0" applyNumberFormat="1" applyBorder="1" applyProtection="1"/>
    <xf numFmtId="0" fontId="0" fillId="0" borderId="15" xfId="0" applyBorder="1" applyProtection="1"/>
    <xf numFmtId="6" fontId="0" fillId="0" borderId="14" xfId="0" applyNumberFormat="1" applyBorder="1" applyProtection="1"/>
    <xf numFmtId="0" fontId="0" fillId="0" borderId="12" xfId="0" applyBorder="1" applyProtection="1"/>
    <xf numFmtId="6" fontId="0" fillId="0" borderId="16" xfId="0" applyNumberFormat="1" applyBorder="1" applyProtection="1"/>
    <xf numFmtId="0" fontId="2" fillId="0" borderId="0" xfId="0" applyFont="1" applyFill="1" applyProtection="1"/>
    <xf numFmtId="0" fontId="2" fillId="0" borderId="0" xfId="0" applyFont="1" applyFill="1" applyBorder="1" applyProtection="1"/>
    <xf numFmtId="6" fontId="2" fillId="0" borderId="0" xfId="0" applyNumberFormat="1" applyFont="1" applyProtection="1"/>
    <xf numFmtId="0" fontId="3" fillId="0" borderId="0" xfId="0" applyFont="1" applyBorder="1" applyAlignment="1" applyProtection="1">
      <alignment horizontal="center"/>
    </xf>
    <xf numFmtId="0" fontId="0" fillId="0" borderId="0" xfId="0" applyProtection="1"/>
    <xf numFmtId="0" fontId="31" fillId="0" borderId="0" xfId="0" applyFont="1"/>
    <xf numFmtId="6" fontId="0" fillId="22" borderId="0" xfId="0" applyNumberFormat="1" applyFill="1" applyProtection="1">
      <protection locked="0"/>
    </xf>
    <xf numFmtId="6" fontId="0" fillId="22" borderId="10" xfId="0" applyNumberFormat="1" applyFill="1" applyBorder="1" applyProtection="1">
      <protection locked="0"/>
    </xf>
    <xf numFmtId="0" fontId="2" fillId="22" borderId="0" xfId="0" applyFont="1" applyFill="1" applyProtection="1">
      <protection locked="0"/>
    </xf>
    <xf numFmtId="0" fontId="2" fillId="22" borderId="10" xfId="0" applyFont="1" applyFill="1" applyBorder="1" applyProtection="1">
      <protection locked="0"/>
    </xf>
    <xf numFmtId="0" fontId="0" fillId="22" borderId="10" xfId="0" applyFill="1" applyBorder="1" applyProtection="1">
      <protection locked="0"/>
    </xf>
    <xf numFmtId="6" fontId="3" fillId="22" borderId="10" xfId="0" applyNumberFormat="1" applyFont="1" applyFill="1" applyBorder="1" applyProtection="1">
      <protection locked="0"/>
    </xf>
    <xf numFmtId="2" fontId="0" fillId="22" borderId="0" xfId="0" applyNumberFormat="1" applyFill="1" applyProtection="1">
      <protection locked="0"/>
    </xf>
    <xf numFmtId="0" fontId="0" fillId="22" borderId="0" xfId="0" applyFill="1" applyProtection="1">
      <protection locked="0"/>
    </xf>
    <xf numFmtId="165" fontId="0" fillId="22" borderId="0" xfId="0" applyNumberFormat="1" applyFill="1" applyProtection="1">
      <protection locked="0"/>
    </xf>
    <xf numFmtId="0" fontId="4" fillId="0" borderId="0" xfId="0" applyNumberFormat="1" applyFont="1" applyProtection="1"/>
    <xf numFmtId="164" fontId="38" fillId="0" borderId="0" xfId="0" applyNumberFormat="1" applyFont="1" applyFill="1" applyProtection="1"/>
    <xf numFmtId="169" fontId="5" fillId="18" borderId="26" xfId="0" applyNumberFormat="1" applyFont="1" applyFill="1" applyBorder="1" applyAlignment="1" applyProtection="1">
      <alignment horizontal="center"/>
    </xf>
    <xf numFmtId="169" fontId="3" fillId="19" borderId="0" xfId="41" applyNumberFormat="1" applyFont="1" applyFill="1" applyBorder="1" applyAlignment="1" applyProtection="1">
      <alignment horizontal="right"/>
    </xf>
    <xf numFmtId="169" fontId="3" fillId="19" borderId="0" xfId="41" applyNumberFormat="1" applyFont="1" applyFill="1" applyBorder="1" applyAlignment="1" applyProtection="1">
      <alignment horizontal="left" indent="1"/>
    </xf>
    <xf numFmtId="169" fontId="2" fillId="19" borderId="0" xfId="41" applyNumberFormat="1" applyFont="1" applyFill="1" applyBorder="1" applyAlignment="1" applyProtection="1">
      <alignment horizontal="left" indent="1"/>
    </xf>
    <xf numFmtId="169" fontId="3" fillId="0" borderId="0" xfId="41" applyNumberFormat="1" applyFont="1" applyFill="1" applyBorder="1" applyAlignment="1" applyProtection="1">
      <alignment horizontal="center"/>
    </xf>
    <xf numFmtId="0" fontId="2" fillId="0" borderId="0" xfId="0" applyFont="1" applyFill="1" applyBorder="1" applyAlignment="1" applyProtection="1"/>
    <xf numFmtId="169" fontId="3" fillId="0" borderId="0" xfId="41" applyNumberFormat="1" applyFont="1" applyFill="1" applyBorder="1" applyAlignment="1" applyProtection="1">
      <alignment horizontal="left"/>
    </xf>
    <xf numFmtId="0" fontId="3" fillId="0" borderId="0" xfId="0" applyFont="1" applyAlignment="1" applyProtection="1">
      <alignment horizontal="left"/>
    </xf>
    <xf numFmtId="0" fontId="0" fillId="0" borderId="0" xfId="0" applyAlignment="1" applyProtection="1">
      <alignment horizontal="left"/>
    </xf>
    <xf numFmtId="0" fontId="3" fillId="0" borderId="0" xfId="0" applyFont="1" applyBorder="1" applyAlignment="1" applyProtection="1">
      <alignment horizontal="left"/>
    </xf>
    <xf numFmtId="0" fontId="0" fillId="0" borderId="0" xfId="0" applyAlignment="1" applyProtection="1">
      <alignment horizontal="center"/>
    </xf>
    <xf numFmtId="4" fontId="2" fillId="0" borderId="0" xfId="28" applyNumberFormat="1" applyFont="1" applyAlignment="1" applyProtection="1">
      <alignment horizontal="right"/>
    </xf>
    <xf numFmtId="0" fontId="2" fillId="0" borderId="0" xfId="0" applyFont="1" applyAlignment="1" applyProtection="1">
      <alignment horizontal="right"/>
    </xf>
    <xf numFmtId="164" fontId="0" fillId="25" borderId="0" xfId="0" applyNumberFormat="1" applyFill="1" applyProtection="1"/>
    <xf numFmtId="9" fontId="0" fillId="25" borderId="10" xfId="0" applyNumberFormat="1" applyFill="1" applyBorder="1" applyProtection="1">
      <protection locked="0"/>
    </xf>
    <xf numFmtId="169" fontId="45" fillId="0" borderId="0" xfId="41" applyFont="1" applyFill="1" applyBorder="1" applyAlignment="1" applyProtection="1">
      <alignment horizontal="right"/>
    </xf>
    <xf numFmtId="0" fontId="31" fillId="0" borderId="0" xfId="0" applyFont="1" applyProtection="1"/>
    <xf numFmtId="0" fontId="47" fillId="0" borderId="0" xfId="0" applyFont="1" applyProtection="1"/>
    <xf numFmtId="0" fontId="33" fillId="0" borderId="0" xfId="0" applyFont="1" applyProtection="1"/>
    <xf numFmtId="0" fontId="48" fillId="0" borderId="0" xfId="0" applyFont="1" applyProtection="1"/>
    <xf numFmtId="169" fontId="31" fillId="0" borderId="0" xfId="41" applyFont="1" applyBorder="1" applyProtection="1"/>
    <xf numFmtId="169" fontId="48" fillId="0" borderId="0" xfId="41" applyFont="1" applyBorder="1" applyProtection="1"/>
    <xf numFmtId="169" fontId="31" fillId="0" borderId="0" xfId="41" applyFont="1" applyBorder="1" applyAlignment="1" applyProtection="1">
      <alignment horizontal="right"/>
    </xf>
    <xf numFmtId="169" fontId="31" fillId="0" borderId="0" xfId="41" applyFont="1" applyBorder="1" applyAlignment="1" applyProtection="1">
      <alignment horizontal="left"/>
    </xf>
    <xf numFmtId="37" fontId="33" fillId="0" borderId="0" xfId="41" applyNumberFormat="1" applyFont="1" applyBorder="1" applyAlignment="1" applyProtection="1">
      <alignment horizontal="center"/>
    </xf>
    <xf numFmtId="0" fontId="31" fillId="0" borderId="0" xfId="0" applyFont="1" applyAlignment="1" applyProtection="1">
      <alignment horizontal="center"/>
    </xf>
    <xf numFmtId="169" fontId="33" fillId="0" borderId="10" xfId="41" applyFont="1" applyBorder="1" applyAlignment="1" applyProtection="1">
      <alignment horizontal="left"/>
    </xf>
    <xf numFmtId="169" fontId="48" fillId="0" borderId="10" xfId="41" applyFont="1" applyBorder="1" applyProtection="1"/>
    <xf numFmtId="169" fontId="31" fillId="0" borderId="10" xfId="41" applyFont="1" applyBorder="1" applyAlignment="1" applyProtection="1">
      <alignment horizontal="right"/>
    </xf>
    <xf numFmtId="169" fontId="31" fillId="0" borderId="10" xfId="41" applyFont="1" applyBorder="1" applyAlignment="1" applyProtection="1">
      <alignment horizontal="left"/>
    </xf>
    <xf numFmtId="5" fontId="33" fillId="0" borderId="10" xfId="41" applyNumberFormat="1" applyFont="1" applyBorder="1" applyProtection="1"/>
    <xf numFmtId="0" fontId="31" fillId="0" borderId="10" xfId="0" applyFont="1" applyBorder="1" applyProtection="1"/>
    <xf numFmtId="170" fontId="31" fillId="0" borderId="10" xfId="0" applyNumberFormat="1" applyFont="1" applyBorder="1" applyProtection="1"/>
    <xf numFmtId="170" fontId="31" fillId="0" borderId="10" xfId="0" applyNumberFormat="1" applyFont="1" applyBorder="1" applyAlignment="1" applyProtection="1">
      <alignment horizontal="center"/>
    </xf>
    <xf numFmtId="169" fontId="31" fillId="0" borderId="0" xfId="41" applyNumberFormat="1" applyFont="1" applyBorder="1" applyAlignment="1" applyProtection="1">
      <alignment horizontal="left"/>
    </xf>
    <xf numFmtId="169" fontId="48" fillId="0" borderId="0" xfId="41" applyFont="1" applyProtection="1"/>
    <xf numFmtId="169" fontId="49" fillId="0" borderId="0" xfId="41" applyFont="1" applyBorder="1" applyProtection="1"/>
    <xf numFmtId="169" fontId="33" fillId="0" borderId="0" xfId="41" applyFont="1" applyBorder="1" applyAlignment="1" applyProtection="1">
      <alignment horizontal="right"/>
    </xf>
    <xf numFmtId="169" fontId="33" fillId="0" borderId="0" xfId="41" applyFont="1" applyAlignment="1" applyProtection="1">
      <alignment horizontal="right"/>
    </xf>
    <xf numFmtId="167" fontId="31" fillId="22" borderId="17" xfId="41" applyNumberFormat="1" applyFont="1" applyFill="1" applyBorder="1" applyAlignment="1" applyProtection="1">
      <protection locked="0"/>
    </xf>
    <xf numFmtId="37" fontId="31" fillId="0" borderId="21" xfId="41" applyNumberFormat="1" applyFont="1" applyBorder="1" applyProtection="1"/>
    <xf numFmtId="167" fontId="31" fillId="22" borderId="17" xfId="0" applyNumberFormat="1" applyFont="1" applyFill="1" applyBorder="1" applyProtection="1">
      <protection locked="0"/>
    </xf>
    <xf numFmtId="167" fontId="31" fillId="22" borderId="21" xfId="41" applyNumberFormat="1" applyFont="1" applyFill="1" applyBorder="1" applyAlignment="1" applyProtection="1">
      <protection locked="0"/>
    </xf>
    <xf numFmtId="167" fontId="31" fillId="22" borderId="21" xfId="0" applyNumberFormat="1" applyFont="1" applyFill="1" applyBorder="1" applyProtection="1">
      <protection locked="0"/>
    </xf>
    <xf numFmtId="169" fontId="31" fillId="0" borderId="10" xfId="41" applyFont="1" applyFill="1" applyBorder="1" applyProtection="1"/>
    <xf numFmtId="37" fontId="48" fillId="0" borderId="10" xfId="41" applyNumberFormat="1" applyFont="1" applyBorder="1" applyProtection="1"/>
    <xf numFmtId="6" fontId="31" fillId="0" borderId="10" xfId="41" applyNumberFormat="1" applyFont="1" applyFill="1" applyBorder="1" applyAlignment="1" applyProtection="1">
      <alignment horizontal="right"/>
    </xf>
    <xf numFmtId="169" fontId="35" fillId="0" borderId="10" xfId="41" applyNumberFormat="1" applyFont="1" applyFill="1" applyBorder="1" applyAlignment="1" applyProtection="1">
      <alignment horizontal="left"/>
    </xf>
    <xf numFmtId="167" fontId="31" fillId="31" borderId="21" xfId="0" applyNumberFormat="1" applyFont="1" applyFill="1" applyBorder="1" applyProtection="1">
      <protection locked="0"/>
    </xf>
    <xf numFmtId="5" fontId="33" fillId="0" borderId="0" xfId="41" applyNumberFormat="1" applyFont="1" applyBorder="1" applyProtection="1"/>
    <xf numFmtId="167" fontId="33" fillId="0" borderId="0" xfId="0" applyNumberFormat="1" applyFont="1" applyProtection="1"/>
    <xf numFmtId="169" fontId="31" fillId="0" borderId="10" xfId="41" applyFont="1" applyBorder="1" applyProtection="1"/>
    <xf numFmtId="169" fontId="49" fillId="0" borderId="10" xfId="41" applyFont="1" applyBorder="1" applyProtection="1"/>
    <xf numFmtId="169" fontId="33" fillId="0" borderId="10" xfId="41" applyFont="1" applyBorder="1" applyAlignment="1" applyProtection="1">
      <alignment horizontal="right"/>
    </xf>
    <xf numFmtId="167" fontId="33" fillId="0" borderId="10" xfId="0" applyNumberFormat="1" applyFont="1" applyBorder="1" applyProtection="1"/>
    <xf numFmtId="169" fontId="33" fillId="0" borderId="10" xfId="41" applyNumberFormat="1" applyFont="1" applyBorder="1" applyAlignment="1" applyProtection="1">
      <alignment horizontal="left"/>
    </xf>
    <xf numFmtId="37" fontId="31" fillId="0" borderId="10" xfId="41" applyNumberFormat="1" applyFont="1" applyBorder="1" applyProtection="1"/>
    <xf numFmtId="169" fontId="33" fillId="0" borderId="10" xfId="41" applyFont="1" applyBorder="1" applyProtection="1"/>
    <xf numFmtId="167" fontId="31" fillId="20" borderId="17" xfId="0" applyNumberFormat="1" applyFont="1" applyFill="1" applyBorder="1" applyProtection="1">
      <protection locked="0"/>
    </xf>
    <xf numFmtId="169" fontId="35" fillId="0" borderId="0" xfId="41" applyFont="1" applyAlignment="1" applyProtection="1">
      <alignment horizontal="right"/>
    </xf>
    <xf numFmtId="5" fontId="35" fillId="0" borderId="0" xfId="41" applyNumberFormat="1" applyFont="1" applyBorder="1" applyProtection="1"/>
    <xf numFmtId="167" fontId="31" fillId="20" borderId="21" xfId="0" applyNumberFormat="1" applyFont="1" applyFill="1" applyBorder="1" applyProtection="1"/>
    <xf numFmtId="169" fontId="31" fillId="0" borderId="0" xfId="41" applyFont="1" applyProtection="1"/>
    <xf numFmtId="7" fontId="31" fillId="0" borderId="0" xfId="30" applyNumberFormat="1" applyFont="1" applyFill="1" applyBorder="1" applyAlignment="1" applyProtection="1">
      <alignment horizontal="right"/>
    </xf>
    <xf numFmtId="169" fontId="35" fillId="0" borderId="0" xfId="41" applyNumberFormat="1" applyFont="1" applyBorder="1" applyAlignment="1" applyProtection="1">
      <alignment horizontal="left"/>
    </xf>
    <xf numFmtId="169" fontId="31" fillId="0" borderId="0" xfId="41" applyNumberFormat="1" applyFont="1" applyAlignment="1" applyProtection="1">
      <alignment horizontal="left"/>
    </xf>
    <xf numFmtId="167" fontId="31" fillId="31" borderId="17" xfId="0" applyNumberFormat="1" applyFont="1" applyFill="1" applyBorder="1" applyProtection="1">
      <protection locked="0"/>
    </xf>
    <xf numFmtId="169" fontId="48" fillId="0" borderId="0" xfId="41" applyFont="1" applyAlignment="1" applyProtection="1">
      <alignment horizontal="right"/>
    </xf>
    <xf numFmtId="37" fontId="31" fillId="0" borderId="0" xfId="41" applyNumberFormat="1" applyFont="1" applyBorder="1" applyProtection="1"/>
    <xf numFmtId="169" fontId="31" fillId="0" borderId="0" xfId="41" applyNumberFormat="1" applyFont="1" applyFill="1" applyAlignment="1" applyProtection="1">
      <alignment horizontal="left"/>
    </xf>
    <xf numFmtId="169" fontId="50" fillId="0" borderId="0" xfId="41" applyFont="1" applyProtection="1"/>
    <xf numFmtId="10" fontId="48" fillId="0" borderId="0" xfId="46" applyNumberFormat="1" applyFont="1" applyProtection="1"/>
    <xf numFmtId="169" fontId="35" fillId="0" borderId="0" xfId="41" applyNumberFormat="1" applyFont="1" applyAlignment="1" applyProtection="1">
      <alignment horizontal="left"/>
    </xf>
    <xf numFmtId="167" fontId="31" fillId="20" borderId="21" xfId="0" applyNumberFormat="1" applyFont="1" applyFill="1" applyBorder="1" applyProtection="1">
      <protection locked="0"/>
    </xf>
    <xf numFmtId="44" fontId="48" fillId="0" borderId="0" xfId="30" applyFont="1" applyProtection="1"/>
    <xf numFmtId="168" fontId="35" fillId="0" borderId="0" xfId="30" applyNumberFormat="1" applyFont="1" applyAlignment="1" applyProtection="1">
      <alignment horizontal="right"/>
    </xf>
    <xf numFmtId="169" fontId="31" fillId="0" borderId="10" xfId="41" applyFont="1" applyBorder="1" applyAlignment="1" applyProtection="1">
      <alignment horizontal="center"/>
    </xf>
    <xf numFmtId="5" fontId="31" fillId="0" borderId="10" xfId="41" applyNumberFormat="1" applyFont="1" applyBorder="1" applyAlignment="1" applyProtection="1">
      <alignment horizontal="center"/>
    </xf>
    <xf numFmtId="0" fontId="31" fillId="0" borderId="10" xfId="0" applyFont="1" applyBorder="1" applyAlignment="1" applyProtection="1">
      <alignment horizontal="center"/>
    </xf>
    <xf numFmtId="0" fontId="31" fillId="0" borderId="24" xfId="0" applyFont="1" applyBorder="1" applyProtection="1"/>
    <xf numFmtId="0" fontId="31" fillId="0" borderId="13" xfId="0" applyFont="1" applyBorder="1" applyProtection="1"/>
    <xf numFmtId="0" fontId="31" fillId="0" borderId="20" xfId="0" applyFont="1" applyBorder="1" applyProtection="1"/>
    <xf numFmtId="6" fontId="48" fillId="0" borderId="12" xfId="41" applyNumberFormat="1" applyFont="1" applyBorder="1" applyProtection="1"/>
    <xf numFmtId="0" fontId="31" fillId="0" borderId="15" xfId="0" applyFont="1" applyBorder="1" applyProtection="1"/>
    <xf numFmtId="0" fontId="31" fillId="0" borderId="0" xfId="0" applyFont="1" applyBorder="1" applyProtection="1"/>
    <xf numFmtId="169" fontId="48" fillId="0" borderId="12" xfId="41" applyFont="1" applyBorder="1" applyProtection="1"/>
    <xf numFmtId="164" fontId="48" fillId="0" borderId="16" xfId="46" applyNumberFormat="1" applyFont="1" applyFill="1" applyBorder="1" applyAlignment="1" applyProtection="1">
      <alignment horizontal="left"/>
    </xf>
    <xf numFmtId="6" fontId="31" fillId="0" borderId="0" xfId="41" applyNumberFormat="1" applyFont="1" applyFill="1" applyAlignment="1" applyProtection="1">
      <alignment horizontal="right"/>
    </xf>
    <xf numFmtId="169" fontId="35" fillId="0" borderId="10" xfId="41" applyNumberFormat="1" applyFont="1" applyBorder="1" applyAlignment="1" applyProtection="1">
      <alignment horizontal="left"/>
    </xf>
    <xf numFmtId="169" fontId="31" fillId="0" borderId="0" xfId="41" applyFont="1" applyFill="1" applyBorder="1" applyProtection="1"/>
    <xf numFmtId="169" fontId="48" fillId="0" borderId="0" xfId="41" applyFont="1" applyFill="1" applyProtection="1"/>
    <xf numFmtId="169" fontId="49" fillId="0" borderId="0" xfId="41" applyFont="1" applyFill="1" applyBorder="1" applyProtection="1"/>
    <xf numFmtId="169" fontId="33" fillId="0" borderId="0" xfId="41" applyFont="1" applyFill="1" applyBorder="1" applyAlignment="1" applyProtection="1">
      <alignment horizontal="right"/>
    </xf>
    <xf numFmtId="169" fontId="33" fillId="0" borderId="0" xfId="41" applyFont="1" applyFill="1" applyAlignment="1" applyProtection="1">
      <alignment horizontal="right"/>
    </xf>
    <xf numFmtId="0" fontId="31" fillId="0" borderId="0" xfId="0" applyFont="1" applyFill="1" applyProtection="1"/>
    <xf numFmtId="167" fontId="33" fillId="0" borderId="0" xfId="0" applyNumberFormat="1" applyFont="1" applyFill="1" applyProtection="1"/>
    <xf numFmtId="167" fontId="33" fillId="0" borderId="0" xfId="41" applyNumberFormat="1" applyFont="1" applyFill="1" applyBorder="1" applyAlignment="1" applyProtection="1"/>
    <xf numFmtId="5" fontId="33" fillId="0" borderId="0" xfId="41" applyNumberFormat="1" applyFont="1" applyFill="1" applyBorder="1" applyProtection="1"/>
    <xf numFmtId="169" fontId="51" fillId="0" borderId="0" xfId="41" applyFont="1" applyFill="1" applyBorder="1" applyAlignment="1" applyProtection="1">
      <alignment horizontal="right"/>
    </xf>
    <xf numFmtId="169" fontId="48" fillId="0" borderId="0" xfId="41" applyFont="1" applyFill="1" applyBorder="1" applyProtection="1"/>
    <xf numFmtId="167" fontId="31" fillId="31" borderId="21" xfId="41" applyNumberFormat="1" applyFont="1" applyFill="1" applyBorder="1" applyAlignment="1" applyProtection="1">
      <protection locked="0"/>
    </xf>
    <xf numFmtId="169" fontId="31" fillId="0" borderId="0" xfId="41" applyFont="1" applyFill="1" applyAlignment="1" applyProtection="1">
      <alignment horizontal="right"/>
    </xf>
    <xf numFmtId="169" fontId="49" fillId="0" borderId="10" xfId="41" applyFont="1" applyFill="1" applyBorder="1" applyProtection="1"/>
    <xf numFmtId="169" fontId="33" fillId="0" borderId="10" xfId="41" applyFont="1" applyFill="1" applyBorder="1" applyAlignment="1" applyProtection="1">
      <alignment horizontal="right"/>
    </xf>
    <xf numFmtId="169" fontId="45" fillId="0" borderId="10" xfId="41" applyFont="1" applyBorder="1" applyProtection="1"/>
    <xf numFmtId="169" fontId="48" fillId="0" borderId="10" xfId="41" applyFont="1" applyFill="1" applyBorder="1" applyProtection="1"/>
    <xf numFmtId="169" fontId="31" fillId="0" borderId="10" xfId="41" applyFont="1" applyFill="1" applyBorder="1" applyAlignment="1" applyProtection="1">
      <alignment horizontal="left"/>
    </xf>
    <xf numFmtId="167" fontId="31" fillId="0" borderId="10" xfId="41" applyNumberFormat="1" applyFont="1" applyBorder="1" applyAlignment="1" applyProtection="1"/>
    <xf numFmtId="169" fontId="45" fillId="0" borderId="0" xfId="41" applyFont="1" applyProtection="1"/>
    <xf numFmtId="171" fontId="48" fillId="0" borderId="0" xfId="41" applyNumberFormat="1" applyFont="1" applyFill="1" applyProtection="1"/>
    <xf numFmtId="170" fontId="45" fillId="0" borderId="0" xfId="30" applyNumberFormat="1" applyFont="1" applyProtection="1"/>
    <xf numFmtId="169" fontId="45" fillId="0" borderId="0" xfId="41" applyFont="1" applyBorder="1" applyProtection="1"/>
    <xf numFmtId="6" fontId="31" fillId="0" borderId="0" xfId="41" applyNumberFormat="1" applyFont="1" applyFill="1" applyBorder="1" applyAlignment="1" applyProtection="1">
      <alignment horizontal="right"/>
    </xf>
    <xf numFmtId="168" fontId="35" fillId="0" borderId="0" xfId="30" applyNumberFormat="1" applyFont="1" applyBorder="1" applyAlignment="1" applyProtection="1">
      <alignment horizontal="right"/>
    </xf>
    <xf numFmtId="169" fontId="52" fillId="0" borderId="0" xfId="41" applyFont="1" applyFill="1" applyBorder="1" applyAlignment="1" applyProtection="1">
      <alignment horizontal="right"/>
    </xf>
    <xf numFmtId="0" fontId="31" fillId="0" borderId="0" xfId="0" applyFont="1" applyFill="1" applyBorder="1" applyProtection="1"/>
    <xf numFmtId="0" fontId="35" fillId="0" borderId="0" xfId="0" applyFont="1" applyFill="1" applyProtection="1"/>
    <xf numFmtId="167" fontId="33" fillId="0" borderId="10" xfId="41" applyNumberFormat="1" applyFont="1" applyFill="1" applyBorder="1" applyAlignment="1" applyProtection="1"/>
    <xf numFmtId="0" fontId="31" fillId="0" borderId="10" xfId="0" applyFont="1" applyFill="1" applyBorder="1" applyProtection="1"/>
    <xf numFmtId="0" fontId="31" fillId="22" borderId="14" xfId="0" applyFont="1" applyFill="1" applyBorder="1" applyAlignment="1" applyProtection="1">
      <alignment horizontal="right"/>
      <protection locked="0"/>
    </xf>
    <xf numFmtId="6" fontId="31" fillId="0" borderId="0" xfId="0" applyNumberFormat="1" applyFont="1" applyProtection="1"/>
    <xf numFmtId="167" fontId="31" fillId="0" borderId="0" xfId="0" applyNumberFormat="1" applyFont="1" applyProtection="1"/>
    <xf numFmtId="7" fontId="31" fillId="0" borderId="0" xfId="0" applyNumberFormat="1" applyFont="1" applyProtection="1"/>
    <xf numFmtId="0" fontId="54" fillId="0" borderId="0" xfId="0" applyFont="1" applyProtection="1"/>
    <xf numFmtId="0" fontId="31" fillId="19" borderId="0" xfId="0" applyFont="1" applyFill="1" applyProtection="1"/>
    <xf numFmtId="0" fontId="33" fillId="19" borderId="0" xfId="0" applyFont="1" applyFill="1" applyProtection="1"/>
    <xf numFmtId="0" fontId="55" fillId="19" borderId="0" xfId="0" applyNumberFormat="1" applyFont="1" applyFill="1" applyProtection="1"/>
    <xf numFmtId="169" fontId="56" fillId="19" borderId="0" xfId="41" applyNumberFormat="1" applyFont="1" applyFill="1" applyBorder="1" applyAlignment="1" applyProtection="1">
      <alignment horizontal="left"/>
    </xf>
    <xf numFmtId="0" fontId="55" fillId="19" borderId="0" xfId="0" applyNumberFormat="1" applyFont="1" applyFill="1" applyBorder="1" applyAlignment="1" applyProtection="1"/>
    <xf numFmtId="0" fontId="55" fillId="19" borderId="0" xfId="0" applyNumberFormat="1" applyFont="1" applyFill="1" applyBorder="1" applyProtection="1"/>
    <xf numFmtId="0" fontId="31" fillId="19" borderId="0" xfId="0" applyNumberFormat="1" applyFont="1" applyFill="1" applyProtection="1"/>
    <xf numFmtId="0" fontId="31" fillId="19" borderId="0" xfId="0" applyNumberFormat="1" applyFont="1" applyFill="1" applyAlignment="1" applyProtection="1">
      <alignment horizontal="right"/>
    </xf>
    <xf numFmtId="0" fontId="31" fillId="22" borderId="22" xfId="0" applyNumberFormat="1" applyFont="1" applyFill="1" applyBorder="1" applyAlignment="1" applyProtection="1">
      <protection locked="0"/>
    </xf>
    <xf numFmtId="0" fontId="31" fillId="19" borderId="0" xfId="0" applyNumberFormat="1" applyFont="1" applyFill="1" applyBorder="1" applyAlignment="1" applyProtection="1"/>
    <xf numFmtId="0" fontId="31" fillId="19" borderId="0" xfId="0" applyNumberFormat="1" applyFont="1" applyFill="1" applyBorder="1" applyAlignment="1" applyProtection="1">
      <alignment horizontal="center"/>
    </xf>
    <xf numFmtId="0" fontId="57" fillId="22" borderId="10" xfId="0" applyNumberFormat="1" applyFont="1" applyFill="1" applyBorder="1" applyAlignment="1" applyProtection="1">
      <protection locked="0"/>
    </xf>
    <xf numFmtId="0" fontId="55" fillId="22" borderId="10" xfId="0" applyNumberFormat="1" applyFont="1" applyFill="1" applyBorder="1" applyAlignment="1" applyProtection="1">
      <protection locked="0"/>
    </xf>
    <xf numFmtId="0" fontId="55" fillId="19" borderId="0" xfId="0" applyNumberFormat="1" applyFont="1" applyFill="1" applyBorder="1" applyAlignment="1" applyProtection="1">
      <alignment horizontal="right"/>
    </xf>
    <xf numFmtId="0" fontId="55" fillId="22" borderId="22" xfId="0" applyNumberFormat="1" applyFont="1" applyFill="1" applyBorder="1" applyAlignment="1" applyProtection="1">
      <protection locked="0"/>
    </xf>
    <xf numFmtId="0" fontId="55" fillId="19" borderId="0" xfId="0" applyFont="1" applyFill="1" applyProtection="1"/>
    <xf numFmtId="0" fontId="58" fillId="19" borderId="0" xfId="0" applyFont="1" applyFill="1" applyProtection="1"/>
    <xf numFmtId="9" fontId="58" fillId="0" borderId="0" xfId="0" applyNumberFormat="1" applyFont="1" applyFill="1" applyBorder="1" applyAlignment="1" applyProtection="1">
      <alignment horizontal="right"/>
    </xf>
    <xf numFmtId="0" fontId="58" fillId="0" borderId="21" xfId="0" applyFont="1" applyFill="1" applyBorder="1" applyAlignment="1" applyProtection="1">
      <alignment horizontal="center"/>
    </xf>
    <xf numFmtId="0" fontId="60" fillId="0" borderId="21" xfId="0" applyFont="1" applyFill="1" applyBorder="1" applyAlignment="1" applyProtection="1">
      <alignment horizontal="center"/>
    </xf>
    <xf numFmtId="0" fontId="58" fillId="0" borderId="0" xfId="0" applyFont="1" applyFill="1" applyBorder="1" applyAlignment="1" applyProtection="1">
      <alignment horizontal="right"/>
    </xf>
    <xf numFmtId="0" fontId="59" fillId="19" borderId="0" xfId="0" applyFont="1" applyFill="1" applyProtection="1"/>
    <xf numFmtId="0" fontId="52" fillId="19" borderId="0" xfId="0" applyFont="1" applyFill="1" applyProtection="1"/>
    <xf numFmtId="0" fontId="31" fillId="19" borderId="10" xfId="0" applyFont="1" applyFill="1" applyBorder="1" applyProtection="1"/>
    <xf numFmtId="0" fontId="31" fillId="19" borderId="10" xfId="0" applyFont="1" applyFill="1" applyBorder="1" applyAlignment="1" applyProtection="1">
      <alignment horizontal="center"/>
    </xf>
    <xf numFmtId="6" fontId="31" fillId="19" borderId="0" xfId="0" applyNumberFormat="1" applyFont="1" applyFill="1" applyAlignment="1" applyProtection="1">
      <alignment horizontal="right"/>
    </xf>
    <xf numFmtId="6" fontId="31" fillId="19" borderId="0" xfId="0" applyNumberFormat="1" applyFont="1" applyFill="1" applyAlignment="1" applyProtection="1">
      <alignment horizontal="center"/>
    </xf>
    <xf numFmtId="0" fontId="31" fillId="19" borderId="0" xfId="0" applyFont="1" applyFill="1" applyAlignment="1" applyProtection="1">
      <alignment horizontal="right"/>
    </xf>
    <xf numFmtId="0" fontId="31" fillId="19" borderId="0" xfId="0" applyFont="1" applyFill="1" applyAlignment="1" applyProtection="1">
      <alignment horizontal="center"/>
    </xf>
    <xf numFmtId="3" fontId="31" fillId="19" borderId="0" xfId="0" applyNumberFormat="1" applyFont="1" applyFill="1" applyAlignment="1" applyProtection="1">
      <alignment horizontal="right"/>
    </xf>
    <xf numFmtId="2" fontId="31" fillId="19" borderId="0" xfId="0" applyNumberFormat="1" applyFont="1" applyFill="1" applyAlignment="1" applyProtection="1">
      <alignment horizontal="right"/>
    </xf>
    <xf numFmtId="0" fontId="56" fillId="19" borderId="0" xfId="0" applyFont="1" applyFill="1" applyBorder="1" applyProtection="1"/>
    <xf numFmtId="6" fontId="31" fillId="19" borderId="0" xfId="0" applyNumberFormat="1" applyFont="1" applyFill="1" applyBorder="1" applyProtection="1"/>
    <xf numFmtId="0" fontId="31" fillId="19" borderId="0" xfId="0" applyFont="1" applyFill="1" applyBorder="1" applyProtection="1"/>
    <xf numFmtId="0" fontId="31" fillId="19" borderId="0" xfId="0" applyFont="1" applyFill="1" applyBorder="1" applyAlignment="1" applyProtection="1">
      <alignment horizontal="center"/>
    </xf>
    <xf numFmtId="167" fontId="31" fillId="19" borderId="0" xfId="0" applyNumberFormat="1" applyFont="1" applyFill="1" applyAlignment="1" applyProtection="1">
      <alignment horizontal="center"/>
    </xf>
    <xf numFmtId="6" fontId="31" fillId="19" borderId="13" xfId="0" applyNumberFormat="1" applyFont="1" applyFill="1" applyBorder="1" applyProtection="1"/>
    <xf numFmtId="0" fontId="31" fillId="19" borderId="13" xfId="0" applyFont="1" applyFill="1" applyBorder="1" applyProtection="1"/>
    <xf numFmtId="6" fontId="31" fillId="19" borderId="13" xfId="0" applyNumberFormat="1" applyFont="1" applyFill="1" applyBorder="1" applyAlignment="1" applyProtection="1">
      <alignment horizontal="right"/>
    </xf>
    <xf numFmtId="6" fontId="31" fillId="19" borderId="0" xfId="0" applyNumberFormat="1" applyFont="1" applyFill="1" applyBorder="1" applyAlignment="1" applyProtection="1">
      <alignment horizontal="right"/>
    </xf>
    <xf numFmtId="164" fontId="31" fillId="19" borderId="0" xfId="46" applyNumberFormat="1" applyFont="1" applyFill="1" applyBorder="1" applyAlignment="1" applyProtection="1">
      <alignment horizontal="right"/>
    </xf>
    <xf numFmtId="170" fontId="35" fillId="19" borderId="13" xfId="0" applyNumberFormat="1" applyFont="1" applyFill="1" applyBorder="1" applyAlignment="1" applyProtection="1">
      <alignment horizontal="center"/>
    </xf>
    <xf numFmtId="170" fontId="35" fillId="19" borderId="0" xfId="0" applyNumberFormat="1" applyFont="1" applyFill="1" applyBorder="1" applyAlignment="1" applyProtection="1">
      <alignment horizontal="center"/>
    </xf>
    <xf numFmtId="170" fontId="51" fillId="19" borderId="0" xfId="0" applyNumberFormat="1" applyFont="1" applyFill="1" applyBorder="1" applyAlignment="1" applyProtection="1">
      <alignment horizontal="center"/>
    </xf>
    <xf numFmtId="6" fontId="45" fillId="19" borderId="0" xfId="0" applyNumberFormat="1" applyFont="1" applyFill="1" applyAlignment="1" applyProtection="1"/>
    <xf numFmtId="6" fontId="31" fillId="19" borderId="10" xfId="0" applyNumberFormat="1" applyFont="1" applyFill="1" applyBorder="1" applyProtection="1"/>
    <xf numFmtId="6" fontId="31" fillId="19" borderId="10" xfId="0" applyNumberFormat="1" applyFont="1" applyFill="1" applyBorder="1" applyAlignment="1" applyProtection="1">
      <alignment horizontal="right"/>
    </xf>
    <xf numFmtId="164" fontId="31" fillId="19" borderId="10" xfId="46" applyNumberFormat="1" applyFont="1" applyFill="1" applyBorder="1" applyAlignment="1" applyProtection="1">
      <alignment horizontal="right"/>
    </xf>
    <xf numFmtId="170" fontId="35" fillId="19" borderId="10" xfId="0" applyNumberFormat="1" applyFont="1" applyFill="1" applyBorder="1" applyAlignment="1" applyProtection="1">
      <alignment horizontal="center"/>
    </xf>
    <xf numFmtId="6" fontId="33" fillId="19" borderId="0" xfId="0" applyNumberFormat="1" applyFont="1" applyFill="1" applyProtection="1"/>
    <xf numFmtId="6" fontId="33" fillId="19" borderId="0" xfId="0" applyNumberFormat="1" applyFont="1" applyFill="1" applyAlignment="1" applyProtection="1">
      <alignment horizontal="right"/>
    </xf>
    <xf numFmtId="170" fontId="51" fillId="19" borderId="0" xfId="0" applyNumberFormat="1" applyFont="1" applyFill="1" applyAlignment="1" applyProtection="1">
      <alignment horizontal="center"/>
    </xf>
    <xf numFmtId="6" fontId="56" fillId="19" borderId="0" xfId="0" applyNumberFormat="1" applyFont="1" applyFill="1" applyBorder="1" applyProtection="1"/>
    <xf numFmtId="0" fontId="62" fillId="19" borderId="0" xfId="0" applyNumberFormat="1" applyFont="1" applyFill="1" applyBorder="1" applyAlignment="1" applyProtection="1">
      <alignment horizontal="center" wrapText="1"/>
    </xf>
    <xf numFmtId="6" fontId="31" fillId="0" borderId="13" xfId="0" applyNumberFormat="1" applyFont="1" applyFill="1" applyBorder="1" applyAlignment="1" applyProtection="1">
      <alignment horizontal="right"/>
    </xf>
    <xf numFmtId="164" fontId="31" fillId="19" borderId="13" xfId="46" applyNumberFormat="1" applyFont="1" applyFill="1" applyBorder="1" applyAlignment="1" applyProtection="1">
      <alignment horizontal="right"/>
    </xf>
    <xf numFmtId="0" fontId="62" fillId="19" borderId="0" xfId="0" applyNumberFormat="1" applyFont="1" applyFill="1" applyBorder="1" applyAlignment="1" applyProtection="1">
      <alignment horizontal="center"/>
    </xf>
    <xf numFmtId="6" fontId="31" fillId="19" borderId="0" xfId="0" applyNumberFormat="1" applyFont="1" applyFill="1" applyProtection="1"/>
    <xf numFmtId="0" fontId="63" fillId="19" borderId="0" xfId="0" applyFont="1" applyFill="1" applyProtection="1"/>
    <xf numFmtId="6" fontId="64" fillId="19" borderId="0" xfId="0" applyNumberFormat="1" applyFont="1" applyFill="1" applyBorder="1" applyAlignment="1" applyProtection="1">
      <alignment horizontal="center"/>
    </xf>
    <xf numFmtId="0" fontId="63" fillId="0" borderId="0" xfId="0" applyFont="1" applyProtection="1"/>
    <xf numFmtId="6" fontId="31" fillId="22" borderId="0" xfId="0" applyNumberFormat="1" applyFont="1" applyFill="1" applyBorder="1" applyAlignment="1" applyProtection="1">
      <alignment horizontal="right"/>
      <protection locked="0"/>
    </xf>
    <xf numFmtId="167" fontId="62" fillId="19" borderId="0" xfId="0" applyNumberFormat="1" applyFont="1" applyFill="1" applyAlignment="1" applyProtection="1">
      <alignment horizontal="center"/>
    </xf>
    <xf numFmtId="9" fontId="62" fillId="19" borderId="0" xfId="46" applyNumberFormat="1" applyFont="1" applyFill="1" applyBorder="1" applyAlignment="1" applyProtection="1">
      <alignment horizontal="left"/>
    </xf>
    <xf numFmtId="6" fontId="31" fillId="22" borderId="11" xfId="0" applyNumberFormat="1" applyFont="1" applyFill="1" applyBorder="1" applyAlignment="1" applyProtection="1">
      <alignment horizontal="right"/>
      <protection locked="0"/>
    </xf>
    <xf numFmtId="6" fontId="31" fillId="19" borderId="11" xfId="0" applyNumberFormat="1" applyFont="1" applyFill="1" applyBorder="1" applyAlignment="1" applyProtection="1">
      <alignment horizontal="right"/>
    </xf>
    <xf numFmtId="164" fontId="31" fillId="19" borderId="11" xfId="46" applyNumberFormat="1" applyFont="1" applyFill="1" applyBorder="1" applyAlignment="1" applyProtection="1">
      <alignment horizontal="right"/>
    </xf>
    <xf numFmtId="6" fontId="33" fillId="19" borderId="0" xfId="0" applyNumberFormat="1" applyFont="1" applyFill="1" applyAlignment="1" applyProtection="1">
      <alignment horizontal="left"/>
    </xf>
    <xf numFmtId="0" fontId="31" fillId="19" borderId="0" xfId="0" applyFont="1" applyFill="1" applyAlignment="1" applyProtection="1">
      <alignment horizontal="left"/>
    </xf>
    <xf numFmtId="164" fontId="33" fillId="19" borderId="0" xfId="46" applyNumberFormat="1" applyFont="1" applyFill="1" applyBorder="1" applyAlignment="1" applyProtection="1">
      <alignment horizontal="right"/>
    </xf>
    <xf numFmtId="10" fontId="31" fillId="19" borderId="0" xfId="0" applyNumberFormat="1" applyFont="1" applyFill="1" applyProtection="1"/>
    <xf numFmtId="6" fontId="33" fillId="19" borderId="11" xfId="0" applyNumberFormat="1" applyFont="1" applyFill="1" applyBorder="1" applyProtection="1"/>
    <xf numFmtId="0" fontId="31" fillId="19" borderId="11" xfId="0" applyFont="1" applyFill="1" applyBorder="1" applyProtection="1"/>
    <xf numFmtId="10" fontId="31" fillId="19" borderId="11" xfId="46" applyNumberFormat="1" applyFont="1" applyFill="1" applyBorder="1" applyProtection="1"/>
    <xf numFmtId="9" fontId="31" fillId="19" borderId="11" xfId="0" applyNumberFormat="1" applyFont="1" applyFill="1" applyBorder="1" applyProtection="1"/>
    <xf numFmtId="0" fontId="65" fillId="19" borderId="0" xfId="0" applyFont="1" applyFill="1" applyAlignment="1" applyProtection="1">
      <alignment vertical="center"/>
    </xf>
    <xf numFmtId="6" fontId="66" fillId="19" borderId="11" xfId="0" applyNumberFormat="1" applyFont="1" applyFill="1" applyBorder="1" applyAlignment="1" applyProtection="1">
      <alignment vertical="center"/>
    </xf>
    <xf numFmtId="0" fontId="65" fillId="19" borderId="11" xfId="0" applyFont="1" applyFill="1" applyBorder="1" applyAlignment="1" applyProtection="1">
      <alignment vertical="center"/>
    </xf>
    <xf numFmtId="6" fontId="68" fillId="19" borderId="11" xfId="0" applyNumberFormat="1" applyFont="1" applyFill="1" applyBorder="1" applyAlignment="1" applyProtection="1">
      <alignment horizontal="center" vertical="center"/>
    </xf>
    <xf numFmtId="164" fontId="69" fillId="19" borderId="11" xfId="46" applyNumberFormat="1" applyFont="1" applyFill="1" applyBorder="1" applyAlignment="1" applyProtection="1">
      <alignment horizontal="right" vertical="center"/>
    </xf>
    <xf numFmtId="0" fontId="65" fillId="19" borderId="0" xfId="0" applyFont="1" applyFill="1" applyAlignment="1" applyProtection="1">
      <alignment horizontal="center" vertical="center"/>
    </xf>
    <xf numFmtId="169" fontId="33" fillId="19" borderId="0" xfId="41" applyNumberFormat="1" applyFont="1" applyFill="1" applyBorder="1" applyAlignment="1" applyProtection="1">
      <alignment horizontal="left"/>
    </xf>
    <xf numFmtId="169" fontId="49" fillId="19" borderId="0" xfId="41" applyNumberFormat="1" applyFont="1" applyFill="1" applyBorder="1" applyAlignment="1" applyProtection="1">
      <alignment horizontal="left" indent="1"/>
    </xf>
    <xf numFmtId="169" fontId="49" fillId="19" borderId="0" xfId="41" applyNumberFormat="1" applyFont="1" applyFill="1" applyBorder="1" applyAlignment="1" applyProtection="1">
      <alignment horizontal="right"/>
    </xf>
    <xf numFmtId="169" fontId="48" fillId="19" borderId="0" xfId="41" applyNumberFormat="1" applyFont="1" applyFill="1" applyBorder="1" applyAlignment="1" applyProtection="1">
      <alignment horizontal="left" indent="1"/>
    </xf>
    <xf numFmtId="0" fontId="31" fillId="19" borderId="0" xfId="0" applyFont="1" applyFill="1" applyAlignment="1" applyProtection="1">
      <alignment horizontal="center" wrapText="1"/>
    </xf>
    <xf numFmtId="0" fontId="31" fillId="22" borderId="0" xfId="0" applyFont="1" applyFill="1" applyAlignment="1" applyProtection="1">
      <alignment horizontal="center"/>
      <protection locked="0"/>
    </xf>
    <xf numFmtId="9" fontId="31" fillId="19" borderId="0" xfId="0" applyNumberFormat="1" applyFont="1" applyFill="1" applyAlignment="1" applyProtection="1">
      <alignment horizontal="center"/>
    </xf>
    <xf numFmtId="3" fontId="31" fillId="22" borderId="0" xfId="0" applyNumberFormat="1" applyFont="1" applyFill="1" applyAlignment="1" applyProtection="1">
      <alignment horizontal="center"/>
      <protection locked="0"/>
    </xf>
    <xf numFmtId="6" fontId="31" fillId="22" borderId="0" xfId="0" applyNumberFormat="1" applyFont="1" applyFill="1" applyProtection="1">
      <protection locked="0"/>
    </xf>
    <xf numFmtId="6" fontId="31" fillId="0" borderId="0" xfId="0" applyNumberFormat="1" applyFont="1" applyAlignment="1" applyProtection="1">
      <alignment horizontal="right"/>
    </xf>
    <xf numFmtId="166" fontId="31" fillId="19" borderId="0" xfId="28" applyNumberFormat="1" applyFont="1" applyFill="1" applyBorder="1" applyAlignment="1" applyProtection="1">
      <alignment horizontal="right"/>
    </xf>
    <xf numFmtId="0" fontId="70" fillId="19" borderId="0" xfId="0" applyFont="1" applyFill="1" applyAlignment="1" applyProtection="1">
      <alignment horizontal="right"/>
    </xf>
    <xf numFmtId="0" fontId="31" fillId="22" borderId="10" xfId="0" applyFont="1" applyFill="1" applyBorder="1" applyAlignment="1" applyProtection="1">
      <alignment horizontal="center"/>
      <protection locked="0"/>
    </xf>
    <xf numFmtId="3" fontId="31" fillId="22" borderId="10" xfId="0" applyNumberFormat="1" applyFont="1" applyFill="1" applyBorder="1" applyAlignment="1" applyProtection="1">
      <alignment horizontal="center"/>
      <protection locked="0"/>
    </xf>
    <xf numFmtId="6" fontId="31" fillId="22" borderId="10" xfId="0" applyNumberFormat="1" applyFont="1" applyFill="1" applyBorder="1" applyProtection="1">
      <protection locked="0"/>
    </xf>
    <xf numFmtId="6" fontId="31" fillId="0" borderId="10" xfId="0" applyNumberFormat="1" applyFont="1" applyBorder="1" applyProtection="1"/>
    <xf numFmtId="6" fontId="31" fillId="0" borderId="10" xfId="0" applyNumberFormat="1" applyFont="1" applyBorder="1" applyAlignment="1" applyProtection="1">
      <alignment horizontal="right"/>
    </xf>
    <xf numFmtId="166" fontId="31" fillId="19" borderId="10" xfId="28" applyNumberFormat="1" applyFont="1" applyFill="1" applyBorder="1" applyAlignment="1" applyProtection="1">
      <alignment horizontal="right"/>
    </xf>
    <xf numFmtId="0" fontId="71" fillId="19" borderId="0" xfId="0" applyFont="1" applyFill="1" applyProtection="1"/>
    <xf numFmtId="0" fontId="31" fillId="19" borderId="13" xfId="0" applyFont="1" applyFill="1" applyBorder="1" applyAlignment="1" applyProtection="1">
      <alignment horizontal="center"/>
    </xf>
    <xf numFmtId="6" fontId="72" fillId="19" borderId="13" xfId="0" applyNumberFormat="1" applyFont="1" applyFill="1" applyBorder="1" applyProtection="1"/>
    <xf numFmtId="166" fontId="31" fillId="19" borderId="13" xfId="28" applyNumberFormat="1" applyFont="1" applyFill="1" applyBorder="1" applyAlignment="1" applyProtection="1">
      <alignment horizontal="right"/>
    </xf>
    <xf numFmtId="0" fontId="72" fillId="19" borderId="0" xfId="0" applyFont="1" applyFill="1" applyProtection="1"/>
    <xf numFmtId="0" fontId="33" fillId="19" borderId="24" xfId="0" applyFont="1" applyFill="1" applyBorder="1" applyProtection="1"/>
    <xf numFmtId="0" fontId="33" fillId="19" borderId="13" xfId="0" applyFont="1" applyFill="1" applyBorder="1" applyAlignment="1" applyProtection="1">
      <alignment horizontal="center"/>
    </xf>
    <xf numFmtId="0" fontId="31" fillId="19" borderId="13" xfId="0" applyFont="1" applyFill="1" applyBorder="1" applyAlignment="1" applyProtection="1">
      <alignment horizontal="center" wrapText="1"/>
    </xf>
    <xf numFmtId="0" fontId="31" fillId="19" borderId="20" xfId="0" applyFont="1" applyFill="1" applyBorder="1" applyProtection="1"/>
    <xf numFmtId="0" fontId="33" fillId="19" borderId="15" xfId="0" applyFont="1" applyFill="1" applyBorder="1" applyProtection="1"/>
    <xf numFmtId="0" fontId="33" fillId="19" borderId="0" xfId="0" applyFont="1" applyFill="1" applyBorder="1" applyAlignment="1" applyProtection="1">
      <alignment horizontal="right"/>
    </xf>
    <xf numFmtId="6" fontId="33" fillId="19" borderId="0" xfId="0" applyNumberFormat="1" applyFont="1" applyFill="1" applyBorder="1" applyAlignment="1" applyProtection="1">
      <alignment horizontal="center"/>
    </xf>
    <xf numFmtId="0" fontId="31" fillId="19" borderId="14" xfId="0" applyFont="1" applyFill="1" applyBorder="1" applyProtection="1"/>
    <xf numFmtId="0" fontId="31" fillId="19" borderId="12" xfId="0" applyFont="1" applyFill="1" applyBorder="1" applyProtection="1"/>
    <xf numFmtId="0" fontId="31" fillId="19" borderId="10" xfId="0" applyFont="1" applyFill="1" applyBorder="1" applyAlignment="1" applyProtection="1">
      <alignment horizontal="right"/>
    </xf>
    <xf numFmtId="6" fontId="31" fillId="19" borderId="10" xfId="0" applyNumberFormat="1" applyFont="1" applyFill="1" applyBorder="1" applyAlignment="1" applyProtection="1">
      <alignment horizontal="center"/>
    </xf>
    <xf numFmtId="0" fontId="31" fillId="19" borderId="16" xfId="0" applyFont="1" applyFill="1" applyBorder="1" applyProtection="1"/>
    <xf numFmtId="0" fontId="33" fillId="0" borderId="24" xfId="0" applyFont="1" applyBorder="1" applyProtection="1"/>
    <xf numFmtId="0" fontId="31" fillId="0" borderId="13" xfId="0" applyFont="1" applyBorder="1" applyAlignment="1" applyProtection="1">
      <alignment horizontal="center"/>
    </xf>
    <xf numFmtId="6" fontId="31" fillId="22" borderId="13" xfId="0" applyNumberFormat="1" applyFont="1" applyFill="1" applyBorder="1" applyProtection="1">
      <protection locked="0"/>
    </xf>
    <xf numFmtId="6" fontId="31" fillId="0" borderId="20" xfId="0" applyNumberFormat="1" applyFont="1" applyBorder="1" applyProtection="1"/>
    <xf numFmtId="0" fontId="31" fillId="0" borderId="15" xfId="0" applyFont="1" applyBorder="1" applyAlignment="1" applyProtection="1">
      <alignment horizontal="center"/>
    </xf>
    <xf numFmtId="0" fontId="31" fillId="0" borderId="0" xfId="0" applyFont="1" applyBorder="1" applyAlignment="1" applyProtection="1">
      <alignment horizontal="center"/>
    </xf>
    <xf numFmtId="6" fontId="31" fillId="22" borderId="0" xfId="0" applyNumberFormat="1" applyFont="1" applyFill="1" applyBorder="1" applyProtection="1">
      <protection locked="0"/>
    </xf>
    <xf numFmtId="6" fontId="31" fillId="0" borderId="14" xfId="0" applyNumberFormat="1" applyFont="1" applyBorder="1" applyProtection="1"/>
    <xf numFmtId="9" fontId="31" fillId="0" borderId="0" xfId="0" applyNumberFormat="1" applyFont="1" applyBorder="1" applyAlignment="1" applyProtection="1">
      <alignment horizontal="center"/>
    </xf>
    <xf numFmtId="6" fontId="31" fillId="0" borderId="0" xfId="0" applyNumberFormat="1" applyFont="1" applyBorder="1" applyAlignment="1" applyProtection="1">
      <alignment horizontal="center"/>
    </xf>
    <xf numFmtId="6" fontId="31" fillId="0" borderId="16" xfId="0" applyNumberFormat="1" applyFont="1" applyBorder="1" applyProtection="1"/>
    <xf numFmtId="6" fontId="31" fillId="0" borderId="0" xfId="0" applyNumberFormat="1" applyFont="1" applyBorder="1" applyProtection="1"/>
    <xf numFmtId="0" fontId="31" fillId="0" borderId="12" xfId="0" applyFont="1" applyBorder="1" applyAlignment="1" applyProtection="1">
      <alignment horizontal="center"/>
    </xf>
    <xf numFmtId="0" fontId="35" fillId="19" borderId="0" xfId="0" applyFont="1" applyFill="1" applyProtection="1"/>
    <xf numFmtId="0" fontId="73" fillId="19" borderId="0" xfId="0" applyFont="1" applyFill="1" applyProtection="1"/>
    <xf numFmtId="0" fontId="74" fillId="19" borderId="0" xfId="0" applyFont="1" applyFill="1" applyProtection="1"/>
    <xf numFmtId="0" fontId="4" fillId="0" borderId="10" xfId="0" applyFont="1" applyBorder="1" applyAlignment="1" applyProtection="1">
      <alignment horizontal="right"/>
    </xf>
    <xf numFmtId="0" fontId="4" fillId="0" borderId="0" xfId="0" applyFont="1" applyBorder="1" applyAlignment="1" applyProtection="1">
      <alignment horizontal="right"/>
    </xf>
    <xf numFmtId="0" fontId="2" fillId="0" borderId="22" xfId="0" applyFont="1" applyBorder="1" applyProtection="1"/>
    <xf numFmtId="164" fontId="38" fillId="0" borderId="0" xfId="0" applyNumberFormat="1" applyFont="1" applyFill="1" applyBorder="1" applyProtection="1"/>
    <xf numFmtId="0" fontId="3" fillId="0" borderId="13" xfId="0" applyFont="1" applyBorder="1" applyProtection="1"/>
    <xf numFmtId="0" fontId="4" fillId="0" borderId="13" xfId="0" applyFont="1" applyBorder="1" applyAlignment="1" applyProtection="1">
      <alignment horizontal="right"/>
    </xf>
    <xf numFmtId="6" fontId="0" fillId="0" borderId="10" xfId="30" applyNumberFormat="1" applyFont="1" applyBorder="1" applyProtection="1"/>
    <xf numFmtId="0" fontId="0" fillId="0" borderId="0" xfId="0" applyAlignment="1" applyProtection="1">
      <alignment horizontal="right"/>
    </xf>
    <xf numFmtId="0" fontId="0" fillId="0" borderId="10" xfId="0" applyBorder="1" applyAlignment="1" applyProtection="1">
      <alignment horizontal="left"/>
    </xf>
    <xf numFmtId="0" fontId="0" fillId="0" borderId="10" xfId="0" applyBorder="1" applyAlignment="1" applyProtection="1">
      <alignment horizontal="right"/>
    </xf>
    <xf numFmtId="2" fontId="0" fillId="0" borderId="10" xfId="0" applyNumberFormat="1" applyBorder="1" applyAlignment="1" applyProtection="1">
      <alignment horizontal="right"/>
    </xf>
    <xf numFmtId="6" fontId="3" fillId="0" borderId="13" xfId="0" applyNumberFormat="1" applyFont="1" applyBorder="1" applyProtection="1"/>
    <xf numFmtId="10" fontId="0" fillId="0" borderId="22" xfId="46" applyNumberFormat="1" applyFont="1" applyBorder="1" applyProtection="1"/>
    <xf numFmtId="0" fontId="0" fillId="0" borderId="22" xfId="0" applyFill="1" applyBorder="1" applyProtection="1"/>
    <xf numFmtId="0" fontId="0" fillId="0" borderId="18" xfId="0" applyBorder="1" applyAlignment="1" applyProtection="1">
      <alignment horizontal="center"/>
    </xf>
    <xf numFmtId="9" fontId="0" fillId="22" borderId="17" xfId="0" applyNumberFormat="1" applyFill="1" applyBorder="1" applyProtection="1">
      <protection locked="0"/>
    </xf>
    <xf numFmtId="8" fontId="2" fillId="0" borderId="18" xfId="0" applyNumberFormat="1" applyFont="1" applyBorder="1" applyAlignment="1" applyProtection="1">
      <alignment horizontal="center"/>
    </xf>
    <xf numFmtId="10" fontId="48" fillId="0" borderId="28" xfId="46" applyNumberFormat="1" applyFont="1" applyBorder="1" applyProtection="1"/>
    <xf numFmtId="10" fontId="48" fillId="0" borderId="25" xfId="46" applyNumberFormat="1" applyFont="1" applyBorder="1" applyProtection="1"/>
    <xf numFmtId="164" fontId="45" fillId="0" borderId="16" xfId="46" applyNumberFormat="1" applyFont="1" applyBorder="1" applyAlignment="1" applyProtection="1">
      <alignment horizontal="left"/>
    </xf>
    <xf numFmtId="9" fontId="48" fillId="0" borderId="28" xfId="46" applyFont="1" applyBorder="1" applyProtection="1"/>
    <xf numFmtId="10" fontId="48" fillId="0" borderId="0" xfId="46" applyNumberFormat="1" applyFont="1" applyBorder="1" applyProtection="1"/>
    <xf numFmtId="6" fontId="45" fillId="0" borderId="10" xfId="41" applyNumberFormat="1" applyFont="1" applyFill="1" applyBorder="1" applyAlignment="1" applyProtection="1">
      <alignment horizontal="right"/>
    </xf>
    <xf numFmtId="0" fontId="48" fillId="0" borderId="15" xfId="0" applyFont="1" applyBorder="1" applyProtection="1"/>
    <xf numFmtId="0" fontId="48" fillId="0" borderId="0" xfId="0" applyFont="1" applyBorder="1" applyProtection="1"/>
    <xf numFmtId="0" fontId="48" fillId="0" borderId="14" xfId="0" applyFont="1" applyBorder="1" applyAlignment="1" applyProtection="1">
      <alignment horizontal="left"/>
    </xf>
    <xf numFmtId="167" fontId="45" fillId="0" borderId="0" xfId="0" quotePrefix="1" applyNumberFormat="1" applyFont="1" applyBorder="1" applyAlignment="1" applyProtection="1">
      <alignment horizontal="right"/>
    </xf>
    <xf numFmtId="167" fontId="48" fillId="0" borderId="0" xfId="0" applyNumberFormat="1" applyFont="1" applyAlignment="1" applyProtection="1">
      <alignment horizontal="center"/>
    </xf>
    <xf numFmtId="169" fontId="45" fillId="0" borderId="25" xfId="41" applyNumberFormat="1" applyFont="1" applyBorder="1" applyAlignment="1" applyProtection="1">
      <alignment horizontal="left"/>
    </xf>
    <xf numFmtId="169" fontId="45" fillId="0" borderId="0" xfId="41" applyNumberFormat="1" applyFont="1" applyBorder="1" applyAlignment="1" applyProtection="1">
      <alignment horizontal="left"/>
    </xf>
    <xf numFmtId="6" fontId="48" fillId="0" borderId="0" xfId="41" applyNumberFormat="1" applyFont="1" applyFill="1" applyBorder="1" applyAlignment="1" applyProtection="1">
      <alignment horizontal="right"/>
    </xf>
    <xf numFmtId="169" fontId="48" fillId="0" borderId="0" xfId="41" applyFont="1" applyBorder="1" applyAlignment="1" applyProtection="1">
      <alignment horizontal="left"/>
    </xf>
    <xf numFmtId="165" fontId="31" fillId="22" borderId="21" xfId="46" applyNumberFormat="1" applyFont="1" applyFill="1" applyBorder="1" applyProtection="1">
      <protection locked="0"/>
    </xf>
    <xf numFmtId="169" fontId="49" fillId="0" borderId="0" xfId="0" applyNumberFormat="1" applyFont="1" applyFill="1" applyBorder="1" applyAlignment="1" applyProtection="1">
      <alignment wrapText="1"/>
    </xf>
    <xf numFmtId="0" fontId="57" fillId="0" borderId="0" xfId="0" applyFont="1" applyFill="1" applyBorder="1" applyAlignment="1" applyProtection="1">
      <alignment horizontal="right"/>
    </xf>
    <xf numFmtId="0" fontId="58" fillId="0" borderId="0" xfId="0" applyFont="1" applyFill="1" applyBorder="1" applyAlignment="1" applyProtection="1">
      <alignment horizontal="center"/>
    </xf>
    <xf numFmtId="0" fontId="59" fillId="0" borderId="0" xfId="0" applyFont="1" applyFill="1" applyBorder="1" applyAlignment="1" applyProtection="1">
      <alignment horizontal="center"/>
    </xf>
    <xf numFmtId="0" fontId="60" fillId="0" borderId="0" xfId="0" applyFont="1" applyFill="1" applyBorder="1" applyAlignment="1" applyProtection="1">
      <alignment horizontal="center"/>
    </xf>
    <xf numFmtId="0" fontId="59" fillId="0" borderId="0" xfId="0" applyFont="1" applyFill="1" applyBorder="1" applyAlignment="1" applyProtection="1">
      <alignment horizontal="left" indent="2"/>
    </xf>
    <xf numFmtId="0" fontId="61" fillId="0" borderId="0" xfId="0" applyFont="1" applyFill="1" applyBorder="1" applyAlignment="1" applyProtection="1">
      <alignment horizontal="center"/>
    </xf>
    <xf numFmtId="9" fontId="31" fillId="22" borderId="0" xfId="46" applyFont="1" applyFill="1" applyProtection="1">
      <protection locked="0"/>
    </xf>
    <xf numFmtId="38" fontId="33" fillId="22" borderId="0" xfId="0" applyNumberFormat="1" applyFont="1" applyFill="1" applyProtection="1">
      <protection locked="0"/>
    </xf>
    <xf numFmtId="172" fontId="31" fillId="22" borderId="0" xfId="0" applyNumberFormat="1" applyFont="1" applyFill="1" applyProtection="1">
      <protection locked="0"/>
    </xf>
    <xf numFmtId="0" fontId="31" fillId="0" borderId="21" xfId="0" applyFont="1" applyBorder="1" applyAlignment="1">
      <alignment horizontal="left"/>
    </xf>
    <xf numFmtId="0" fontId="31" fillId="0" borderId="21" xfId="0" applyFont="1" applyBorder="1" applyAlignment="1">
      <alignment horizontal="left" wrapText="1"/>
    </xf>
    <xf numFmtId="0" fontId="31" fillId="22" borderId="21" xfId="0" applyFont="1" applyFill="1" applyBorder="1" applyAlignment="1">
      <alignment horizontal="left" wrapText="1"/>
    </xf>
    <xf numFmtId="0" fontId="31" fillId="31" borderId="21" xfId="0" applyFont="1" applyFill="1" applyBorder="1" applyAlignment="1">
      <alignment horizontal="left" wrapText="1"/>
    </xf>
    <xf numFmtId="0" fontId="31" fillId="25" borderId="21" xfId="0" applyFont="1" applyFill="1" applyBorder="1" applyAlignment="1">
      <alignment horizontal="left" wrapText="1"/>
    </xf>
    <xf numFmtId="0" fontId="32" fillId="25" borderId="0" xfId="0" applyFont="1" applyFill="1" applyProtection="1"/>
    <xf numFmtId="0" fontId="32" fillId="0" borderId="0" xfId="0" applyFont="1" applyAlignment="1" applyProtection="1">
      <alignment horizontal="right"/>
    </xf>
    <xf numFmtId="0" fontId="32" fillId="0" borderId="0" xfId="0" applyFont="1" applyProtection="1"/>
    <xf numFmtId="0" fontId="31" fillId="23" borderId="0" xfId="0" applyFont="1" applyFill="1" applyProtection="1"/>
    <xf numFmtId="0" fontId="33" fillId="0" borderId="0" xfId="0" applyFont="1" applyAlignment="1" applyProtection="1">
      <alignment horizontal="left"/>
    </xf>
    <xf numFmtId="0" fontId="34" fillId="0" borderId="10" xfId="0" applyFont="1" applyBorder="1" applyAlignment="1" applyProtection="1">
      <alignment horizontal="center"/>
    </xf>
    <xf numFmtId="0" fontId="32" fillId="0" borderId="14" xfId="0" applyFont="1" applyBorder="1" applyAlignment="1" applyProtection="1">
      <alignment horizontal="right"/>
    </xf>
    <xf numFmtId="3" fontId="32" fillId="25" borderId="24" xfId="0" applyNumberFormat="1" applyFont="1" applyFill="1" applyBorder="1" applyProtection="1"/>
    <xf numFmtId="3" fontId="32" fillId="25" borderId="13" xfId="0" applyNumberFormat="1" applyFont="1" applyFill="1" applyBorder="1" applyProtection="1"/>
    <xf numFmtId="3" fontId="32" fillId="25" borderId="20" xfId="0" applyNumberFormat="1" applyFont="1" applyFill="1" applyBorder="1" applyProtection="1"/>
    <xf numFmtId="3" fontId="32" fillId="0" borderId="0" xfId="0" applyNumberFormat="1" applyFont="1" applyProtection="1"/>
    <xf numFmtId="3" fontId="32" fillId="0" borderId="15" xfId="0" applyNumberFormat="1" applyFont="1" applyBorder="1" applyProtection="1"/>
    <xf numFmtId="3" fontId="32" fillId="0" borderId="14" xfId="0" applyNumberFormat="1" applyFont="1" applyBorder="1" applyProtection="1"/>
    <xf numFmtId="3" fontId="32" fillId="25" borderId="15" xfId="0" applyNumberFormat="1" applyFont="1" applyFill="1" applyBorder="1" applyProtection="1"/>
    <xf numFmtId="3" fontId="32" fillId="25" borderId="0" xfId="0" applyNumberFormat="1" applyFont="1" applyFill="1" applyProtection="1"/>
    <xf numFmtId="3" fontId="32" fillId="25" borderId="14" xfId="0" applyNumberFormat="1" applyFont="1" applyFill="1" applyBorder="1" applyProtection="1"/>
    <xf numFmtId="3" fontId="32" fillId="0" borderId="12" xfId="0" applyNumberFormat="1" applyFont="1" applyBorder="1" applyProtection="1"/>
    <xf numFmtId="3" fontId="32" fillId="0" borderId="10" xfId="0" applyNumberFormat="1" applyFont="1" applyBorder="1" applyProtection="1"/>
    <xf numFmtId="3" fontId="32" fillId="0" borderId="16" xfId="0" applyNumberFormat="1" applyFont="1" applyBorder="1" applyProtection="1"/>
    <xf numFmtId="6" fontId="35" fillId="0" borderId="0" xfId="0" applyNumberFormat="1" applyFont="1" applyProtection="1"/>
    <xf numFmtId="0" fontId="36" fillId="0" borderId="0" xfId="0" applyFont="1" applyAlignment="1" applyProtection="1">
      <alignment horizontal="right"/>
    </xf>
    <xf numFmtId="0" fontId="37" fillId="0" borderId="0" xfId="0" applyFont="1" applyAlignment="1" applyProtection="1">
      <alignment horizontal="center"/>
    </xf>
    <xf numFmtId="0" fontId="31" fillId="0" borderId="0" xfId="0" applyFont="1" applyAlignment="1" applyProtection="1">
      <alignment horizontal="right"/>
    </xf>
    <xf numFmtId="3" fontId="31" fillId="25" borderId="18" xfId="0" applyNumberFormat="1" applyFont="1" applyFill="1" applyBorder="1" applyProtection="1"/>
    <xf numFmtId="3" fontId="31" fillId="25" borderId="19" xfId="0" applyNumberFormat="1" applyFont="1" applyFill="1" applyBorder="1" applyProtection="1"/>
    <xf numFmtId="3" fontId="31" fillId="25" borderId="17" xfId="0" applyNumberFormat="1" applyFont="1" applyFill="1" applyBorder="1" applyProtection="1"/>
    <xf numFmtId="0" fontId="32" fillId="0" borderId="0" xfId="0" applyFont="1" applyAlignment="1" applyProtection="1">
      <alignment horizontal="center"/>
    </xf>
    <xf numFmtId="0" fontId="32" fillId="24" borderId="0" xfId="0" applyFont="1" applyFill="1" applyAlignment="1" applyProtection="1">
      <alignment horizontal="center"/>
    </xf>
    <xf numFmtId="3" fontId="32" fillId="0" borderId="24" xfId="0" applyNumberFormat="1" applyFont="1" applyBorder="1" applyProtection="1"/>
    <xf numFmtId="3" fontId="32" fillId="0" borderId="13" xfId="0" applyNumberFormat="1" applyFont="1" applyBorder="1" applyProtection="1"/>
    <xf numFmtId="3" fontId="32" fillId="24" borderId="20" xfId="0" applyNumberFormat="1" applyFont="1" applyFill="1" applyBorder="1" applyProtection="1"/>
    <xf numFmtId="3" fontId="32" fillId="24" borderId="14" xfId="0" applyNumberFormat="1" applyFont="1" applyFill="1" applyBorder="1" applyProtection="1"/>
    <xf numFmtId="3" fontId="32" fillId="24" borderId="16" xfId="0" applyNumberFormat="1" applyFont="1" applyFill="1" applyBorder="1" applyProtection="1"/>
    <xf numFmtId="3" fontId="32" fillId="22" borderId="14" xfId="0" applyNumberFormat="1" applyFont="1" applyFill="1" applyBorder="1" applyProtection="1">
      <protection locked="0"/>
    </xf>
    <xf numFmtId="3" fontId="32" fillId="22" borderId="16" xfId="0" applyNumberFormat="1" applyFont="1" applyFill="1" applyBorder="1" applyProtection="1">
      <protection locked="0"/>
    </xf>
    <xf numFmtId="6" fontId="0" fillId="25" borderId="0" xfId="0" applyNumberFormat="1" applyFill="1" applyProtection="1"/>
    <xf numFmtId="9" fontId="31" fillId="0" borderId="0" xfId="46" applyFont="1" applyProtection="1"/>
    <xf numFmtId="164" fontId="0" fillId="21" borderId="0" xfId="0" applyNumberFormat="1" applyFill="1" applyProtection="1">
      <protection locked="0"/>
    </xf>
    <xf numFmtId="164" fontId="0" fillId="25" borderId="17" xfId="0" applyNumberFormat="1" applyFill="1" applyBorder="1" applyProtection="1">
      <protection locked="0"/>
    </xf>
    <xf numFmtId="6" fontId="0" fillId="22" borderId="0" xfId="0" applyNumberFormat="1" applyFill="1" applyBorder="1" applyProtection="1">
      <protection locked="0"/>
    </xf>
    <xf numFmtId="6" fontId="0" fillId="22" borderId="13" xfId="0" applyNumberFormat="1" applyFill="1" applyBorder="1" applyProtection="1">
      <protection locked="0"/>
    </xf>
    <xf numFmtId="0" fontId="31" fillId="22" borderId="21" xfId="0" applyFont="1" applyFill="1" applyBorder="1" applyProtection="1">
      <protection locked="0"/>
    </xf>
    <xf numFmtId="0" fontId="33" fillId="0" borderId="24" xfId="0" applyFont="1" applyFill="1" applyBorder="1" applyProtection="1"/>
    <xf numFmtId="0" fontId="31" fillId="0" borderId="13" xfId="0" applyFont="1" applyFill="1" applyBorder="1" applyProtection="1"/>
    <xf numFmtId="169" fontId="33" fillId="0" borderId="13" xfId="41" applyFont="1" applyFill="1" applyBorder="1" applyProtection="1"/>
    <xf numFmtId="169" fontId="33" fillId="0" borderId="13" xfId="41" applyFont="1" applyFill="1" applyBorder="1" applyAlignment="1" applyProtection="1">
      <alignment horizontal="right"/>
    </xf>
    <xf numFmtId="0" fontId="33" fillId="0" borderId="13" xfId="0" applyFont="1" applyFill="1" applyBorder="1" applyProtection="1"/>
    <xf numFmtId="169" fontId="33" fillId="0" borderId="20" xfId="41" applyFont="1" applyFill="1" applyBorder="1" applyAlignment="1" applyProtection="1">
      <alignment horizontal="right"/>
    </xf>
    <xf numFmtId="169" fontId="31" fillId="0" borderId="15" xfId="41" applyFont="1" applyFill="1" applyBorder="1" applyProtection="1"/>
    <xf numFmtId="167" fontId="31" fillId="0" borderId="14" xfId="41" applyNumberFormat="1" applyFont="1" applyFill="1" applyBorder="1" applyProtection="1"/>
    <xf numFmtId="0" fontId="31" fillId="0" borderId="15" xfId="0" applyFont="1" applyFill="1" applyBorder="1" applyProtection="1"/>
    <xf numFmtId="6" fontId="31" fillId="0" borderId="14" xfId="0" applyNumberFormat="1" applyFont="1" applyFill="1" applyBorder="1" applyProtection="1"/>
    <xf numFmtId="0" fontId="53" fillId="0" borderId="10" xfId="0" applyFont="1" applyFill="1" applyBorder="1" applyAlignment="1" applyProtection="1">
      <alignment horizontal="left"/>
    </xf>
    <xf numFmtId="6" fontId="31" fillId="0" borderId="16" xfId="0" applyNumberFormat="1" applyFont="1" applyFill="1" applyBorder="1" applyProtection="1"/>
    <xf numFmtId="167" fontId="31" fillId="0" borderId="0" xfId="0" applyNumberFormat="1" applyFont="1" applyFill="1" applyBorder="1" applyProtection="1"/>
    <xf numFmtId="169" fontId="33" fillId="0" borderId="0" xfId="41" applyFont="1" applyFill="1" applyBorder="1" applyProtection="1"/>
    <xf numFmtId="169" fontId="33" fillId="0" borderId="0" xfId="41" applyFont="1" applyFill="1" applyBorder="1" applyAlignment="1" applyProtection="1">
      <alignment horizontal="left"/>
    </xf>
    <xf numFmtId="169" fontId="53" fillId="0" borderId="0" xfId="41" applyFont="1" applyFill="1" applyBorder="1" applyAlignment="1" applyProtection="1">
      <alignment horizontal="left"/>
    </xf>
    <xf numFmtId="167" fontId="31" fillId="0" borderId="14" xfId="0" applyNumberFormat="1" applyFont="1" applyFill="1" applyBorder="1" applyProtection="1"/>
    <xf numFmtId="0" fontId="53" fillId="0" borderId="0" xfId="0" applyFont="1" applyFill="1" applyBorder="1" applyProtection="1"/>
    <xf numFmtId="0" fontId="53" fillId="0" borderId="0" xfId="0" applyFont="1" applyFill="1" applyBorder="1" applyAlignment="1" applyProtection="1">
      <alignment horizontal="left"/>
    </xf>
    <xf numFmtId="38" fontId="31" fillId="0" borderId="0" xfId="0" applyNumberFormat="1" applyFont="1" applyProtection="1"/>
    <xf numFmtId="10" fontId="31" fillId="0" borderId="0" xfId="46" applyNumberFormat="1" applyFont="1" applyFill="1" applyProtection="1"/>
    <xf numFmtId="172" fontId="31" fillId="0" borderId="0" xfId="0" applyNumberFormat="1" applyFont="1" applyProtection="1"/>
    <xf numFmtId="10" fontId="31" fillId="0" borderId="0" xfId="46" applyNumberFormat="1" applyFont="1" applyProtection="1"/>
    <xf numFmtId="9" fontId="35" fillId="0" borderId="0" xfId="46" applyFont="1" applyAlignment="1" applyProtection="1">
      <alignment horizontal="right"/>
    </xf>
    <xf numFmtId="0" fontId="35" fillId="0" borderId="0" xfId="0" applyFont="1" applyAlignment="1" applyProtection="1">
      <alignment horizontal="left"/>
    </xf>
    <xf numFmtId="10" fontId="33" fillId="22" borderId="0" xfId="46" applyNumberFormat="1" applyFont="1" applyFill="1" applyProtection="1">
      <protection locked="0"/>
    </xf>
    <xf numFmtId="10" fontId="31" fillId="22" borderId="0" xfId="0" applyNumberFormat="1" applyFont="1" applyFill="1" applyProtection="1">
      <protection locked="0"/>
    </xf>
    <xf numFmtId="0" fontId="54" fillId="0" borderId="0" xfId="0" applyFont="1" applyBorder="1" applyProtection="1"/>
    <xf numFmtId="0" fontId="76" fillId="0" borderId="10" xfId="42" applyFont="1" applyBorder="1" applyAlignment="1" applyProtection="1">
      <alignment wrapText="1"/>
    </xf>
    <xf numFmtId="173" fontId="31" fillId="0" borderId="10" xfId="0" applyNumberFormat="1" applyFont="1" applyFill="1" applyBorder="1" applyAlignment="1" applyProtection="1">
      <alignment horizontal="center"/>
    </xf>
    <xf numFmtId="0" fontId="77" fillId="0" borderId="0" xfId="42" applyFont="1" applyBorder="1" applyAlignment="1" applyProtection="1">
      <alignment wrapText="1"/>
    </xf>
    <xf numFmtId="0" fontId="33" fillId="0" borderId="0" xfId="0" applyFont="1" applyAlignment="1" applyProtection="1">
      <alignment horizontal="center"/>
    </xf>
    <xf numFmtId="0" fontId="33" fillId="0" borderId="20" xfId="0" applyFont="1" applyBorder="1" applyAlignment="1" applyProtection="1">
      <alignment horizontal="center"/>
    </xf>
    <xf numFmtId="0" fontId="33" fillId="0" borderId="18" xfId="0" applyFont="1" applyBorder="1" applyAlignment="1" applyProtection="1">
      <alignment horizontal="center"/>
    </xf>
    <xf numFmtId="0" fontId="33" fillId="0" borderId="19" xfId="0" applyFont="1" applyBorder="1" applyAlignment="1" applyProtection="1">
      <alignment horizontal="center"/>
    </xf>
    <xf numFmtId="0" fontId="56" fillId="0" borderId="10" xfId="42" applyFont="1" applyBorder="1" applyAlignment="1" applyProtection="1">
      <alignment wrapText="1"/>
    </xf>
    <xf numFmtId="0" fontId="33" fillId="0" borderId="10" xfId="0" applyFont="1" applyBorder="1" applyAlignment="1" applyProtection="1">
      <alignment horizontal="center"/>
    </xf>
    <xf numFmtId="0" fontId="33" fillId="0" borderId="16" xfId="0" applyFont="1" applyBorder="1" applyAlignment="1" applyProtection="1">
      <alignment horizontal="center"/>
    </xf>
    <xf numFmtId="0" fontId="33" fillId="0" borderId="17" xfId="0" applyFont="1" applyBorder="1" applyAlignment="1" applyProtection="1">
      <alignment horizontal="center"/>
    </xf>
    <xf numFmtId="0" fontId="33" fillId="0" borderId="10" xfId="0" applyFont="1" applyBorder="1" applyProtection="1"/>
    <xf numFmtId="6" fontId="31" fillId="0" borderId="0" xfId="42" applyNumberFormat="1" applyFont="1" applyAlignment="1" applyProtection="1">
      <alignment vertical="center"/>
    </xf>
    <xf numFmtId="38" fontId="31" fillId="0" borderId="14" xfId="0" applyNumberFormat="1" applyFont="1" applyFill="1" applyBorder="1" applyAlignment="1" applyProtection="1">
      <alignment horizontal="right"/>
    </xf>
    <xf numFmtId="38" fontId="31" fillId="0" borderId="19" xfId="0" applyNumberFormat="1" applyFont="1" applyFill="1" applyBorder="1" applyAlignment="1" applyProtection="1">
      <alignment horizontal="right"/>
    </xf>
    <xf numFmtId="6" fontId="31" fillId="0" borderId="10" xfId="42" applyNumberFormat="1" applyFont="1" applyBorder="1" applyAlignment="1" applyProtection="1">
      <alignment vertical="center"/>
    </xf>
    <xf numFmtId="6" fontId="49" fillId="0" borderId="0" xfId="42" applyNumberFormat="1" applyFont="1" applyAlignment="1" applyProtection="1">
      <alignment horizontal="right" wrapText="1"/>
    </xf>
    <xf numFmtId="6" fontId="31" fillId="0" borderId="19" xfId="0" applyNumberFormat="1" applyFont="1" applyBorder="1" applyProtection="1"/>
    <xf numFmtId="6" fontId="31" fillId="0" borderId="18" xfId="0" applyNumberFormat="1" applyFont="1" applyBorder="1" applyProtection="1"/>
    <xf numFmtId="0" fontId="76" fillId="0" borderId="0" xfId="42" applyFont="1" applyBorder="1" applyAlignment="1" applyProtection="1">
      <alignment wrapText="1"/>
    </xf>
    <xf numFmtId="6" fontId="31" fillId="0" borderId="17" xfId="0" applyNumberFormat="1" applyFont="1" applyBorder="1" applyProtection="1"/>
    <xf numFmtId="6" fontId="48" fillId="0" borderId="0" xfId="42" applyNumberFormat="1" applyFont="1" applyAlignment="1" applyProtection="1">
      <alignment wrapText="1"/>
    </xf>
    <xf numFmtId="167" fontId="31" fillId="0" borderId="14" xfId="0" applyNumberFormat="1" applyFont="1" applyBorder="1" applyProtection="1"/>
    <xf numFmtId="167" fontId="31" fillId="0" borderId="19" xfId="0" applyNumberFormat="1" applyFont="1" applyFill="1" applyBorder="1" applyAlignment="1" applyProtection="1">
      <alignment horizontal="right"/>
    </xf>
    <xf numFmtId="0" fontId="48" fillId="0" borderId="0" xfId="42" applyNumberFormat="1" applyFont="1" applyAlignment="1" applyProtection="1">
      <alignment horizontal="left" wrapText="1"/>
    </xf>
    <xf numFmtId="0" fontId="48" fillId="0" borderId="10" xfId="42" applyNumberFormat="1" applyFont="1" applyBorder="1" applyAlignment="1" applyProtection="1">
      <alignment horizontal="left" wrapText="1"/>
    </xf>
    <xf numFmtId="6" fontId="49" fillId="0" borderId="22" xfId="42" applyNumberFormat="1" applyFont="1" applyBorder="1" applyAlignment="1" applyProtection="1">
      <alignment horizontal="right" wrapText="1"/>
    </xf>
    <xf numFmtId="6" fontId="31" fillId="0" borderId="25" xfId="0" applyNumberFormat="1" applyFont="1" applyFill="1" applyBorder="1" applyProtection="1"/>
    <xf numFmtId="6" fontId="31" fillId="0" borderId="22" xfId="0" applyNumberFormat="1" applyFont="1" applyFill="1" applyBorder="1" applyProtection="1"/>
    <xf numFmtId="6" fontId="31" fillId="0" borderId="21" xfId="0" applyNumberFormat="1" applyFont="1" applyFill="1" applyBorder="1" applyProtection="1"/>
    <xf numFmtId="6" fontId="48" fillId="0" borderId="0" xfId="42" applyNumberFormat="1" applyFont="1" applyBorder="1" applyAlignment="1" applyProtection="1">
      <alignment wrapText="1"/>
    </xf>
    <xf numFmtId="6" fontId="48" fillId="0" borderId="24" xfId="42" applyNumberFormat="1" applyFont="1" applyBorder="1" applyAlignment="1" applyProtection="1">
      <alignment wrapText="1"/>
    </xf>
    <xf numFmtId="6" fontId="48" fillId="0" borderId="15" xfId="42" applyNumberFormat="1" applyFont="1" applyBorder="1" applyAlignment="1" applyProtection="1">
      <alignment wrapText="1"/>
    </xf>
    <xf numFmtId="6" fontId="48" fillId="0" borderId="12" xfId="42" applyNumberFormat="1" applyFont="1" applyBorder="1" applyAlignment="1" applyProtection="1">
      <alignment wrapText="1"/>
    </xf>
    <xf numFmtId="6" fontId="31" fillId="0" borderId="22" xfId="0" applyNumberFormat="1" applyFont="1" applyBorder="1" applyProtection="1"/>
    <xf numFmtId="6" fontId="49" fillId="0" borderId="0" xfId="42" applyNumberFormat="1" applyFont="1" applyAlignment="1" applyProtection="1">
      <alignment wrapText="1"/>
    </xf>
    <xf numFmtId="0" fontId="48" fillId="0" borderId="0" xfId="42" applyFont="1" applyAlignment="1" applyProtection="1">
      <alignment wrapText="1"/>
    </xf>
    <xf numFmtId="173" fontId="31" fillId="22" borderId="10" xfId="0" applyNumberFormat="1" applyFont="1" applyFill="1" applyBorder="1" applyAlignment="1" applyProtection="1">
      <alignment horizontal="center"/>
      <protection locked="0"/>
    </xf>
    <xf numFmtId="167" fontId="31" fillId="22" borderId="19" xfId="0" applyNumberFormat="1" applyFont="1" applyFill="1" applyBorder="1" applyAlignment="1" applyProtection="1">
      <alignment horizontal="right"/>
      <protection locked="0"/>
    </xf>
    <xf numFmtId="167" fontId="31" fillId="22" borderId="14" xfId="0" applyNumberFormat="1" applyFont="1" applyFill="1" applyBorder="1" applyAlignment="1" applyProtection="1">
      <alignment horizontal="right"/>
      <protection locked="0"/>
    </xf>
    <xf numFmtId="167" fontId="31" fillId="22" borderId="0" xfId="0" applyNumberFormat="1" applyFont="1" applyFill="1" applyAlignment="1" applyProtection="1">
      <alignment horizontal="right"/>
      <protection locked="0"/>
    </xf>
    <xf numFmtId="167" fontId="31" fillId="22" borderId="18" xfId="0" applyNumberFormat="1" applyFont="1" applyFill="1" applyBorder="1" applyAlignment="1" applyProtection="1">
      <alignment horizontal="right"/>
      <protection locked="0"/>
    </xf>
    <xf numFmtId="167" fontId="31" fillId="22" borderId="16" xfId="0" applyNumberFormat="1" applyFont="1" applyFill="1" applyBorder="1" applyAlignment="1" applyProtection="1">
      <alignment horizontal="right"/>
      <protection locked="0"/>
    </xf>
    <xf numFmtId="167" fontId="31" fillId="22" borderId="10" xfId="0" applyNumberFormat="1" applyFont="1" applyFill="1" applyBorder="1" applyAlignment="1" applyProtection="1">
      <alignment horizontal="right"/>
      <protection locked="0"/>
    </xf>
    <xf numFmtId="167" fontId="31" fillId="22" borderId="17" xfId="0" applyNumberFormat="1" applyFont="1" applyFill="1" applyBorder="1" applyAlignment="1" applyProtection="1">
      <alignment horizontal="right"/>
      <protection locked="0"/>
    </xf>
    <xf numFmtId="167" fontId="31" fillId="22" borderId="14" xfId="0" applyNumberFormat="1" applyFont="1" applyFill="1" applyBorder="1" applyProtection="1">
      <protection locked="0"/>
    </xf>
    <xf numFmtId="167" fontId="31" fillId="22" borderId="0" xfId="0" applyNumberFormat="1" applyFont="1" applyFill="1" applyProtection="1">
      <protection locked="0"/>
    </xf>
    <xf numFmtId="167" fontId="31" fillId="22" borderId="19" xfId="0" applyNumberFormat="1" applyFont="1" applyFill="1" applyBorder="1" applyProtection="1">
      <protection locked="0"/>
    </xf>
    <xf numFmtId="167" fontId="31" fillId="22" borderId="16" xfId="0" applyNumberFormat="1" applyFont="1" applyFill="1" applyBorder="1" applyProtection="1">
      <protection locked="0"/>
    </xf>
    <xf numFmtId="167" fontId="31" fillId="22" borderId="10" xfId="0" applyNumberFormat="1" applyFont="1" applyFill="1" applyBorder="1" applyProtection="1">
      <protection locked="0"/>
    </xf>
    <xf numFmtId="6" fontId="31" fillId="0" borderId="0" xfId="0" applyNumberFormat="1" applyFont="1" applyFill="1" applyProtection="1"/>
    <xf numFmtId="6" fontId="31" fillId="0" borderId="12" xfId="0" applyNumberFormat="1" applyFont="1" applyBorder="1" applyProtection="1"/>
    <xf numFmtId="6" fontId="31" fillId="0" borderId="15" xfId="0" applyNumberFormat="1" applyFont="1" applyBorder="1" applyProtection="1"/>
    <xf numFmtId="6" fontId="48" fillId="0" borderId="28" xfId="42" applyNumberFormat="1" applyFont="1" applyBorder="1" applyAlignment="1" applyProtection="1">
      <alignment wrapText="1"/>
    </xf>
    <xf numFmtId="6" fontId="31" fillId="0" borderId="25" xfId="0" applyNumberFormat="1" applyFont="1" applyBorder="1" applyProtection="1"/>
    <xf numFmtId="8" fontId="31" fillId="0" borderId="0" xfId="0" applyNumberFormat="1" applyFont="1" applyFill="1" applyProtection="1"/>
    <xf numFmtId="0" fontId="45" fillId="0" borderId="0" xfId="0" applyFont="1" applyProtection="1"/>
    <xf numFmtId="0" fontId="33" fillId="0" borderId="10" xfId="0" applyFont="1" applyBorder="1" applyAlignment="1" applyProtection="1">
      <alignment horizontal="center" wrapText="1"/>
    </xf>
    <xf numFmtId="0" fontId="33" fillId="0" borderId="10" xfId="0" applyFont="1" applyFill="1" applyBorder="1" applyAlignment="1" applyProtection="1">
      <alignment horizontal="center" wrapText="1"/>
    </xf>
    <xf numFmtId="0" fontId="78" fillId="0" borderId="0" xfId="0" applyFont="1" applyAlignment="1" applyProtection="1">
      <alignment horizontal="center"/>
    </xf>
    <xf numFmtId="173" fontId="31" fillId="0" borderId="0" xfId="0" applyNumberFormat="1" applyFont="1" applyFill="1" applyBorder="1" applyAlignment="1" applyProtection="1">
      <alignment horizontal="right"/>
    </xf>
    <xf numFmtId="10" fontId="31" fillId="0" borderId="0" xfId="46" applyNumberFormat="1" applyFont="1" applyFill="1" applyAlignment="1" applyProtection="1">
      <alignment horizontal="right"/>
    </xf>
    <xf numFmtId="0" fontId="31" fillId="22" borderId="0" xfId="0" applyFont="1" applyFill="1" applyProtection="1">
      <protection locked="0"/>
    </xf>
    <xf numFmtId="9" fontId="31" fillId="22" borderId="0" xfId="0" applyNumberFormat="1" applyFont="1" applyFill="1" applyProtection="1">
      <protection locked="0"/>
    </xf>
    <xf numFmtId="173" fontId="31" fillId="22" borderId="0" xfId="0" applyNumberFormat="1" applyFont="1" applyFill="1" applyBorder="1" applyAlignment="1" applyProtection="1">
      <alignment horizontal="center"/>
      <protection locked="0"/>
    </xf>
    <xf numFmtId="0" fontId="31" fillId="22" borderId="22" xfId="0" applyNumberFormat="1" applyFont="1" applyFill="1" applyBorder="1" applyAlignment="1" applyProtection="1">
      <protection locked="0"/>
    </xf>
    <xf numFmtId="0" fontId="31" fillId="22" borderId="10" xfId="0" applyFont="1" applyFill="1" applyBorder="1" applyAlignment="1" applyProtection="1">
      <alignment vertical="top"/>
      <protection locked="0"/>
    </xf>
    <xf numFmtId="6" fontId="31" fillId="22" borderId="0" xfId="0" applyNumberFormat="1" applyFont="1" applyFill="1" applyBorder="1" applyAlignment="1" applyProtection="1">
      <alignment horizontal="left"/>
      <protection locked="0"/>
    </xf>
    <xf numFmtId="169" fontId="46" fillId="18" borderId="0" xfId="41" applyNumberFormat="1" applyFont="1" applyFill="1" applyBorder="1" applyAlignment="1" applyProtection="1">
      <alignment horizontal="center"/>
    </xf>
    <xf numFmtId="0" fontId="31" fillId="0" borderId="0" xfId="0" applyFont="1" applyBorder="1" applyAlignment="1" applyProtection="1"/>
    <xf numFmtId="6" fontId="31" fillId="19" borderId="13" xfId="0" applyNumberFormat="1" applyFont="1" applyFill="1" applyBorder="1" applyAlignment="1" applyProtection="1">
      <alignment horizontal="left"/>
    </xf>
    <xf numFmtId="0" fontId="31" fillId="19" borderId="0" xfId="0" applyNumberFormat="1" applyFont="1" applyFill="1" applyBorder="1" applyAlignment="1" applyProtection="1">
      <alignment horizontal="right"/>
    </xf>
    <xf numFmtId="0" fontId="31" fillId="19" borderId="0" xfId="0" applyFont="1" applyFill="1" applyAlignment="1" applyProtection="1">
      <alignment horizontal="right"/>
    </xf>
    <xf numFmtId="49" fontId="57" fillId="22" borderId="10" xfId="0" applyNumberFormat="1" applyFont="1" applyFill="1" applyBorder="1" applyProtection="1">
      <protection locked="0"/>
    </xf>
    <xf numFmtId="0" fontId="55" fillId="22" borderId="22" xfId="0" applyNumberFormat="1" applyFont="1" applyFill="1" applyBorder="1" applyAlignment="1" applyProtection="1">
      <protection locked="0"/>
    </xf>
    <xf numFmtId="49" fontId="55" fillId="22" borderId="22" xfId="0" applyNumberFormat="1" applyFont="1" applyFill="1" applyBorder="1" applyAlignment="1" applyProtection="1">
      <protection locked="0"/>
    </xf>
    <xf numFmtId="0" fontId="62" fillId="19" borderId="0" xfId="0" applyNumberFormat="1" applyFont="1" applyFill="1" applyBorder="1" applyAlignment="1" applyProtection="1">
      <alignment horizontal="center" vertical="center" wrapText="1"/>
    </xf>
    <xf numFmtId="6" fontId="31" fillId="0" borderId="11" xfId="0" applyNumberFormat="1" applyFont="1" applyFill="1" applyBorder="1" applyAlignment="1" applyProtection="1">
      <alignment horizontal="left"/>
    </xf>
    <xf numFmtId="0" fontId="31" fillId="0" borderId="0" xfId="0" applyFont="1" applyFill="1" applyBorder="1" applyAlignment="1" applyProtection="1">
      <alignment vertical="top"/>
    </xf>
    <xf numFmtId="0" fontId="31" fillId="22" borderId="15" xfId="0" applyFont="1" applyFill="1" applyBorder="1" applyProtection="1">
      <protection locked="0"/>
    </xf>
    <xf numFmtId="0" fontId="31" fillId="22" borderId="0" xfId="0" applyFont="1" applyFill="1" applyBorder="1" applyProtection="1">
      <protection locked="0"/>
    </xf>
    <xf numFmtId="0" fontId="31" fillId="22" borderId="12" xfId="0" applyFont="1" applyFill="1" applyBorder="1" applyProtection="1">
      <protection locked="0"/>
    </xf>
    <xf numFmtId="0" fontId="31" fillId="22" borderId="10" xfId="0" applyFont="1" applyFill="1" applyBorder="1" applyProtection="1">
      <protection locked="0"/>
    </xf>
    <xf numFmtId="0" fontId="33" fillId="19" borderId="0" xfId="0" applyFont="1" applyFill="1" applyAlignment="1" applyProtection="1">
      <alignment horizontal="center" wrapText="1"/>
    </xf>
    <xf numFmtId="169" fontId="48" fillId="19" borderId="0" xfId="41" applyNumberFormat="1" applyFont="1" applyFill="1" applyBorder="1" applyAlignment="1" applyProtection="1">
      <alignment horizontal="left" indent="1"/>
    </xf>
    <xf numFmtId="0" fontId="2" fillId="22" borderId="28" xfId="0" applyFont="1" applyFill="1" applyBorder="1" applyProtection="1">
      <protection locked="0"/>
    </xf>
    <xf numFmtId="0" fontId="2" fillId="22" borderId="22" xfId="0" applyFont="1" applyFill="1" applyBorder="1" applyProtection="1">
      <protection locked="0"/>
    </xf>
    <xf numFmtId="0" fontId="2" fillId="22" borderId="25" xfId="0" applyFont="1" applyFill="1" applyBorder="1" applyProtection="1">
      <protection locked="0"/>
    </xf>
    <xf numFmtId="0" fontId="0" fillId="0" borderId="0" xfId="0" applyAlignment="1" applyProtection="1">
      <alignment horizontal="center"/>
    </xf>
    <xf numFmtId="169" fontId="24" fillId="18" borderId="26" xfId="41" applyNumberFormat="1" applyFont="1" applyFill="1" applyBorder="1" applyAlignment="1" applyProtection="1">
      <alignment horizontal="center"/>
    </xf>
    <xf numFmtId="169" fontId="24" fillId="18" borderId="23" xfId="41" applyNumberFormat="1" applyFont="1" applyFill="1" applyBorder="1" applyAlignment="1" applyProtection="1">
      <alignment horizontal="center"/>
    </xf>
    <xf numFmtId="0" fontId="0" fillId="0" borderId="23" xfId="0" applyBorder="1" applyAlignment="1" applyProtection="1"/>
    <xf numFmtId="0" fontId="0" fillId="0" borderId="27" xfId="0" applyBorder="1" applyAlignment="1" applyProtection="1"/>
    <xf numFmtId="169" fontId="5" fillId="18" borderId="29" xfId="0" applyNumberFormat="1" applyFont="1" applyFill="1" applyBorder="1" applyAlignment="1" applyProtection="1">
      <alignment horizontal="center"/>
    </xf>
    <xf numFmtId="169" fontId="5" fillId="18" borderId="0" xfId="0" applyNumberFormat="1" applyFont="1" applyFill="1" applyBorder="1" applyAlignment="1" applyProtection="1">
      <alignment horizontal="center"/>
    </xf>
    <xf numFmtId="169" fontId="31" fillId="22" borderId="10" xfId="41" applyFont="1" applyFill="1" applyBorder="1" applyProtection="1">
      <protection locked="0"/>
    </xf>
    <xf numFmtId="169" fontId="31" fillId="22" borderId="0" xfId="41" applyFont="1" applyFill="1" applyBorder="1" applyProtection="1">
      <protection locked="0"/>
    </xf>
    <xf numFmtId="169" fontId="46" fillId="18" borderId="28" xfId="41" applyNumberFormat="1" applyFont="1" applyFill="1" applyBorder="1" applyAlignment="1" applyProtection="1">
      <alignment horizontal="center"/>
    </xf>
    <xf numFmtId="169" fontId="46" fillId="18" borderId="22" xfId="41" applyNumberFormat="1" applyFont="1" applyFill="1" applyBorder="1" applyAlignment="1" applyProtection="1">
      <alignment horizontal="center"/>
    </xf>
    <xf numFmtId="169" fontId="46" fillId="18" borderId="25" xfId="41" applyNumberFormat="1" applyFont="1" applyFill="1" applyBorder="1" applyAlignment="1" applyProtection="1">
      <alignment horizontal="center"/>
    </xf>
    <xf numFmtId="0" fontId="35" fillId="0" borderId="0" xfId="0" applyFont="1" applyAlignment="1" applyProtection="1">
      <alignment horizontal="left" wrapText="1"/>
    </xf>
    <xf numFmtId="169" fontId="56" fillId="18" borderId="26" xfId="0" applyNumberFormat="1" applyFont="1" applyFill="1" applyBorder="1" applyAlignment="1" applyProtection="1">
      <alignment horizontal="left"/>
    </xf>
    <xf numFmtId="0" fontId="54" fillId="0" borderId="27" xfId="0" applyFont="1" applyBorder="1" applyAlignment="1" applyProtection="1">
      <alignment horizontal="left"/>
    </xf>
    <xf numFmtId="0" fontId="33" fillId="0" borderId="10" xfId="0" applyFont="1" applyBorder="1" applyAlignment="1" applyProtection="1">
      <alignment horizontal="center"/>
    </xf>
    <xf numFmtId="169" fontId="33" fillId="18" borderId="0" xfId="0" applyNumberFormat="1" applyFont="1" applyFill="1" applyBorder="1" applyAlignment="1" applyProtection="1">
      <alignment horizontal="center"/>
    </xf>
    <xf numFmtId="167" fontId="80" fillId="0" borderId="0" xfId="0" applyNumberFormat="1" applyFont="1" applyFill="1" applyBorder="1" applyAlignment="1" applyProtection="1">
      <alignment horizontal="right"/>
    </xf>
    <xf numFmtId="0" fontId="52" fillId="0" borderId="15" xfId="0" applyFont="1" applyFill="1" applyBorder="1" applyProtection="1"/>
    <xf numFmtId="169" fontId="31" fillId="0" borderId="12" xfId="41" applyFont="1" applyFill="1" applyBorder="1" applyProtection="1"/>
  </cellXfs>
  <cellStyles count="12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2 2" xfId="95" xr:uid="{4A725966-EFB3-4BEC-8807-FAA0DB1B0C1B}"/>
    <cellStyle name="40% - Accent2 2 2" xfId="124" xr:uid="{6275BAED-FB44-4FFF-946D-86C561DC23F8}"/>
    <cellStyle name="40% - Accent3" xfId="9" builtinId="39" customBuiltin="1"/>
    <cellStyle name="40% - Accent4" xfId="10" builtinId="43" customBuiltin="1"/>
    <cellStyle name="40% - Accent4 2" xfId="94" xr:uid="{473F04E6-EFC8-478D-B696-FC78CDA0207B}"/>
    <cellStyle name="40% - Accent4 2 2" xfId="123" xr:uid="{B5F7F1B7-4E34-4ADC-BC77-0895E3AA7D8A}"/>
    <cellStyle name="40% - Accent5" xfId="11" builtinId="47" customBuiltin="1"/>
    <cellStyle name="40% - Accent5 2" xfId="93" xr:uid="{54403953-566F-48A5-A70C-CC58FB3B7B0E}"/>
    <cellStyle name="40% - Accent5 2 2" xfId="122" xr:uid="{F009F087-53BB-4313-878B-21BA4DCBB4ED}"/>
    <cellStyle name="40% - Accent6" xfId="12" builtinId="51" customBuiltin="1"/>
    <cellStyle name="40% - Accent6 2" xfId="92" xr:uid="{B64D43BD-74B5-4B94-83F6-9C10BE029B65}"/>
    <cellStyle name="40% - Accent6 2 2" xfId="121" xr:uid="{689406C1-29AC-49BF-9763-64F49E2795B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xfId="60" xr:uid="{9CE931F5-9592-41E9-897D-55EED1B37120}"/>
    <cellStyle name="Calculation" xfId="26" builtinId="22" customBuiltin="1"/>
    <cellStyle name="Check Cell" xfId="27" builtinId="23" customBuiltin="1"/>
    <cellStyle name="Comma" xfId="28" builtinId="3"/>
    <cellStyle name="Comma 2" xfId="29" xr:uid="{00000000-0005-0000-0000-00001C000000}"/>
    <cellStyle name="Comma 2 2" xfId="68" xr:uid="{E94BC5E8-B05F-43E6-82AC-DDE70AD9C789}"/>
    <cellStyle name="Comma 3" xfId="70" xr:uid="{5CB2D82D-564A-4B54-A095-DB481D6B6E50}"/>
    <cellStyle name="Comma 3 2" xfId="82" xr:uid="{2FB5EDA0-2D3A-4F07-B877-B2ED68F14B00}"/>
    <cellStyle name="Comma 3 2 2" xfId="112" xr:uid="{706C96D9-9A8D-4738-887B-890DC1E429EC}"/>
    <cellStyle name="Comma 3 3" xfId="91" xr:uid="{71A47868-CC5E-4AC7-BD53-F549F5CBABFC}"/>
    <cellStyle name="Comma 3 3 2" xfId="120" xr:uid="{B663781E-6CC8-4AF8-8F52-4BA1CDBC368A}"/>
    <cellStyle name="Comma 3 4" xfId="104" xr:uid="{699FDF75-E456-454F-8BEE-860D5EF2655E}"/>
    <cellStyle name="Currency" xfId="30" builtinId="4"/>
    <cellStyle name="Currency 2" xfId="31" xr:uid="{00000000-0005-0000-0000-00001E000000}"/>
    <cellStyle name="Currency 2 2" xfId="61" xr:uid="{4B238FF9-74EC-43DC-A862-72DF5B1E9F7D}"/>
    <cellStyle name="Currency 2 3" xfId="75" xr:uid="{718244F0-EF03-4FA4-8863-30088AA55485}"/>
    <cellStyle name="Currency 2 3 2" xfId="107" xr:uid="{2AF1D597-B970-4A4B-889D-57FE9024E574}"/>
    <cellStyle name="Currency 2 4" xfId="99" xr:uid="{A452C5C6-BE56-48E4-B5DE-1C3E191B62B7}"/>
    <cellStyle name="Currency 2 5" xfId="58" xr:uid="{919D034C-B8E0-4977-B531-DA6BB7B3D96D}"/>
    <cellStyle name="Currency 3" xfId="67" xr:uid="{4BDA2CE7-07A2-4CD9-B3B2-5824E87D3C1B}"/>
    <cellStyle name="Currency 3 2" xfId="80" xr:uid="{B985A2E2-E719-4883-858C-FBA3270180AC}"/>
    <cellStyle name="Currency 3 2 2" xfId="110" xr:uid="{0EA2A4FA-4BCE-493A-8FF3-F9469E9F277C}"/>
    <cellStyle name="Currency 3 3" xfId="89" xr:uid="{8BC64599-E872-43EC-83BE-2CD22C5A6D61}"/>
    <cellStyle name="Currency 3 3 2" xfId="118" xr:uid="{93E1E55E-94A0-423C-8552-07422D0520EE}"/>
    <cellStyle name="Currency 3 4" xfId="102" xr:uid="{A2C57AF4-1DDE-4B94-904A-11C0EA7596D8}"/>
    <cellStyle name="Currency 4" xfId="54" xr:uid="{DE63BD82-A13E-49AC-B454-CF31503486C3}"/>
    <cellStyle name="Currency 5" xfId="78" xr:uid="{FD3A6381-98E2-4D28-A420-75D09ABC2A60}"/>
    <cellStyle name="Currency 6" xfId="85" xr:uid="{38E6B987-F5FC-4F73-98E5-E0291E27C6D2}"/>
    <cellStyle name="Currency 6 2" xfId="114" xr:uid="{EF7BDE00-EE5F-4C05-8798-DC3836F869A5}"/>
    <cellStyle name="Currency 7" xfId="65" xr:uid="{BC08DA1C-C822-4FFF-BB8C-2D89B96601B8}"/>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2" xfId="77" xr:uid="{1D4EEB62-3A17-4D13-B93D-491243101A0B}"/>
    <cellStyle name="Hyperlink 3" xfId="63" xr:uid="{C8A42E4D-B450-4F47-9F47-B608F90ADFB2}"/>
    <cellStyle name="Input" xfId="38" builtinId="20" customBuiltin="1"/>
    <cellStyle name="Linked Cell" xfId="39" builtinId="24" customBuiltin="1"/>
    <cellStyle name="Neutral" xfId="40" builtinId="28" customBuiltin="1"/>
    <cellStyle name="Normal" xfId="0" builtinId="0"/>
    <cellStyle name="Normal 2" xfId="57" xr:uid="{B9A747AE-F0F4-45CD-ABAA-B2131C43B3E5}"/>
    <cellStyle name="Normal 2 2" xfId="56" xr:uid="{AE06AD45-E94E-44F4-87AB-AB26D4ADD736}"/>
    <cellStyle name="Normal 2 3" xfId="74" xr:uid="{3F5F264C-1F31-4E46-BD84-42A0B1E9F9C5}"/>
    <cellStyle name="Normal 2 3 2" xfId="106" xr:uid="{D721828C-BA5B-4F9C-B03C-E8BB1D30EA9A}"/>
    <cellStyle name="Normal 2 4" xfId="98" xr:uid="{7C456DE6-3F4A-411E-949C-9E279738DF7F}"/>
    <cellStyle name="Normal 27" xfId="53" xr:uid="{917A3F91-6A0B-46E6-B9D1-D427D62F3228}"/>
    <cellStyle name="Normal 27 2" xfId="73" xr:uid="{BFE2BE34-0E0E-4B80-8715-C1B991A2B672}"/>
    <cellStyle name="Normal 27 2 2" xfId="105" xr:uid="{D40A7A6C-35C3-4027-8A61-A388F548A490}"/>
    <cellStyle name="Normal 27 3" xfId="97" xr:uid="{ACE84BD9-74B3-4AFB-9372-5A7AC3EED61D}"/>
    <cellStyle name="Normal 28" xfId="83" xr:uid="{F0FBFE02-3671-48DB-8C90-D73217656488}"/>
    <cellStyle name="Normal 3" xfId="64" xr:uid="{8261A220-B48B-4525-BBF4-2F543D882593}"/>
    <cellStyle name="Normal 4" xfId="66" xr:uid="{068A612B-1949-47D3-A173-0AFF4AA643D0}"/>
    <cellStyle name="Normal 4 2" xfId="79" xr:uid="{2AB5D0EB-786D-4588-9DBA-A0C58E407104}"/>
    <cellStyle name="Normal 4 2 2" xfId="109" xr:uid="{4A550789-1FE1-4E57-BB51-EF5EE2B48BFA}"/>
    <cellStyle name="Normal 4 3" xfId="87" xr:uid="{B5EC0776-A69F-470C-AACD-F97DB8BEF214}"/>
    <cellStyle name="Normal 4 3 2" xfId="116" xr:uid="{C1B4A3F2-19DD-4D63-8F26-81693260D869}"/>
    <cellStyle name="Normal 4 4" xfId="101" xr:uid="{0B129C3D-50A5-4A86-8430-0D5248195EFC}"/>
    <cellStyle name="Normal 5" xfId="71" xr:uid="{E790E8D7-5A23-42EE-9083-FCAEB5B83310}"/>
    <cellStyle name="Normal 5 2" xfId="96" xr:uid="{751129EE-655C-4490-A986-45552F607BD1}"/>
    <cellStyle name="Normal 6" xfId="84" xr:uid="{38FE2AAD-C3C4-4779-8246-7C2F9E487756}"/>
    <cellStyle name="Normal 6 2" xfId="113" xr:uid="{BB1BDC5B-34A8-43FB-BCD2-36A51C83E1D3}"/>
    <cellStyle name="Normal 7" xfId="88" xr:uid="{1AC16053-A490-4D31-9AC0-3110DF02876E}"/>
    <cellStyle name="Normal 7 2" xfId="117" xr:uid="{D871890B-A670-45FD-8B8B-556DBDF71C9D}"/>
    <cellStyle name="Normal 8" xfId="51" xr:uid="{B7E79203-43E1-46EB-90EA-19D057BF8E46}"/>
    <cellStyle name="Normal_Development Budget" xfId="41" xr:uid="{00000000-0005-0000-0000-000029000000}"/>
    <cellStyle name="Normal_HDTP99-00 Wkshp 4" xfId="42" xr:uid="{00000000-0005-0000-0000-00002A000000}"/>
    <cellStyle name="Note" xfId="43" builtinId="10" customBuiltin="1"/>
    <cellStyle name="Note 2" xfId="44" xr:uid="{00000000-0005-0000-0000-00002C000000}"/>
    <cellStyle name="Output" xfId="45" builtinId="21" customBuiltin="1"/>
    <cellStyle name="Percent" xfId="46" builtinId="5"/>
    <cellStyle name="Percent 2" xfId="47" xr:uid="{00000000-0005-0000-0000-00002F000000}"/>
    <cellStyle name="Percent 2 2" xfId="62" xr:uid="{521F7DA7-213D-41C8-A33B-0131C9F295CE}"/>
    <cellStyle name="Percent 2 3" xfId="76" xr:uid="{427989EC-E1B1-4CA5-B60B-219CAF0CCB8F}"/>
    <cellStyle name="Percent 2 3 2" xfId="108" xr:uid="{E7B973B6-74C5-4131-B646-8F3E9E3623C6}"/>
    <cellStyle name="Percent 2 4" xfId="100" xr:uid="{1AAA8047-D75D-4474-943C-01F93B1C18DD}"/>
    <cellStyle name="Percent 2 5" xfId="59" xr:uid="{A4B2AFDD-9486-4509-ACE6-E2AB38956792}"/>
    <cellStyle name="Percent 3" xfId="69" xr:uid="{DB7491DD-84CD-4BAD-B6DC-A88459EA3AED}"/>
    <cellStyle name="Percent 3 2" xfId="55" xr:uid="{16B9A7BD-5D7D-4043-9A8C-81812A88C6C1}"/>
    <cellStyle name="Percent 3 3" xfId="81" xr:uid="{42599229-4F45-4F29-8D14-897B44ACD5B1}"/>
    <cellStyle name="Percent 3 3 2" xfId="111" xr:uid="{156D0FA5-973C-4B5F-BE6B-0FF2BEE5935A}"/>
    <cellStyle name="Percent 3 4" xfId="90" xr:uid="{8FB6F96F-A587-4FCF-8BEF-2B65A79A1733}"/>
    <cellStyle name="Percent 3 4 2" xfId="119" xr:uid="{7304B0D7-7FA7-4CF6-840F-26F8090E7E02}"/>
    <cellStyle name="Percent 3 5" xfId="103" xr:uid="{AD73CD35-DC9F-425A-8612-9E9CBB290767}"/>
    <cellStyle name="Percent 4" xfId="72" xr:uid="{958EC7BA-FDB4-4F4C-9D76-3BC6906C1B85}"/>
    <cellStyle name="Percent 5" xfId="86" xr:uid="{0BCE3FB8-47F5-4C23-B062-371FA273F1AE}"/>
    <cellStyle name="Percent 5 2" xfId="115" xr:uid="{FC6B8001-0E28-40AF-ADAC-1A89063144CC}"/>
    <cellStyle name="Percent 6" xfId="52" xr:uid="{A2AF6569-FEAD-49AC-84E0-A5CC4CA28FA7}"/>
    <cellStyle name="Title" xfId="48" builtinId="15" customBuiltin="1"/>
    <cellStyle name="Total" xfId="49" builtinId="25" customBuiltin="1"/>
    <cellStyle name="Warning Text" xfId="50" builtinId="11" customBuiltin="1"/>
  </cellStyles>
  <dxfs count="1">
    <dxf>
      <font>
        <color rgb="FFFF000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B6E2-3270-4692-B364-2D2244925E51}">
  <dimension ref="A2:A7"/>
  <sheetViews>
    <sheetView workbookViewId="0"/>
  </sheetViews>
  <sheetFormatPr defaultRowHeight="12.7"/>
  <cols>
    <col min="1" max="1" width="81.87890625" style="48" customWidth="1"/>
    <col min="2" max="16384" width="8.9375" style="48"/>
  </cols>
  <sheetData>
    <row r="2" spans="1:1" ht="13">
      <c r="A2" s="359" t="s">
        <v>386</v>
      </c>
    </row>
    <row r="3" spans="1:1" ht="25.35">
      <c r="A3" s="360" t="s">
        <v>387</v>
      </c>
    </row>
    <row r="4" spans="1:1" ht="76">
      <c r="A4" s="360" t="s">
        <v>390</v>
      </c>
    </row>
    <row r="5" spans="1:1" ht="38">
      <c r="A5" s="361" t="s">
        <v>388</v>
      </c>
    </row>
    <row r="6" spans="1:1" ht="50.7">
      <c r="A6" s="362" t="s">
        <v>389</v>
      </c>
    </row>
    <row r="7" spans="1:1" ht="38">
      <c r="A7" s="363" t="s">
        <v>391</v>
      </c>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91"/>
  <sheetViews>
    <sheetView showGridLines="0" workbookViewId="0">
      <selection activeCell="D4" sqref="D4:H4"/>
    </sheetView>
  </sheetViews>
  <sheetFormatPr defaultColWidth="8.8203125" defaultRowHeight="12.7"/>
  <cols>
    <col min="1" max="1" width="4" style="184" bestFit="1" customWidth="1"/>
    <col min="2" max="2" width="14.29296875" style="78" customWidth="1"/>
    <col min="3" max="7" width="11.64453125" style="76" customWidth="1"/>
    <col min="8" max="8" width="8.64453125" style="76" customWidth="1"/>
    <col min="9" max="9" width="10.8203125" style="76" customWidth="1"/>
    <col min="10" max="10" width="11.703125" style="76" customWidth="1"/>
    <col min="11" max="11" width="11.29296875" style="76" bestFit="1" customWidth="1"/>
    <col min="12" max="16384" width="8.8203125" style="76"/>
  </cols>
  <sheetData>
    <row r="1" spans="2:50" ht="15.35">
      <c r="B1" s="502" t="s">
        <v>90</v>
      </c>
      <c r="C1" s="503"/>
      <c r="D1" s="503"/>
      <c r="E1" s="503"/>
      <c r="F1" s="503"/>
      <c r="G1" s="503"/>
      <c r="H1" s="503"/>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row>
    <row r="2" spans="2:50" s="184" customFormat="1" ht="12" customHeight="1">
      <c r="B2" s="185"/>
    </row>
    <row r="3" spans="2:50" s="186" customFormat="1" ht="14.25" customHeight="1">
      <c r="B3" s="187" t="s">
        <v>108</v>
      </c>
      <c r="C3" s="188"/>
      <c r="D3" s="188"/>
      <c r="E3" s="188"/>
      <c r="F3" s="188"/>
      <c r="G3" s="188"/>
      <c r="H3" s="188"/>
    </row>
    <row r="4" spans="2:50" s="189" customFormat="1" ht="14.25" customHeight="1">
      <c r="B4" s="505" t="s">
        <v>169</v>
      </c>
      <c r="C4" s="505"/>
      <c r="D4" s="507"/>
      <c r="E4" s="507"/>
      <c r="F4" s="507"/>
      <c r="G4" s="507"/>
      <c r="H4" s="507"/>
    </row>
    <row r="5" spans="2:50" s="189" customFormat="1" ht="14.25" customHeight="1">
      <c r="B5" s="505" t="s">
        <v>170</v>
      </c>
      <c r="C5" s="505"/>
      <c r="D5" s="508"/>
      <c r="E5" s="508"/>
      <c r="F5" s="508"/>
      <c r="G5" s="508"/>
      <c r="H5" s="508"/>
    </row>
    <row r="6" spans="2:50" s="189" customFormat="1" ht="14.25" customHeight="1">
      <c r="B6" s="505" t="s">
        <v>171</v>
      </c>
      <c r="C6" s="505"/>
      <c r="D6" s="509"/>
      <c r="E6" s="509"/>
      <c r="F6" s="509"/>
      <c r="G6" s="509"/>
      <c r="H6" s="509"/>
    </row>
    <row r="7" spans="2:50" s="190" customFormat="1" ht="14.25" customHeight="1">
      <c r="B7" s="505" t="s">
        <v>109</v>
      </c>
      <c r="C7" s="505"/>
      <c r="D7" s="499"/>
      <c r="E7" s="499"/>
      <c r="F7" s="191" t="s">
        <v>77</v>
      </c>
      <c r="G7" s="499"/>
      <c r="H7" s="499"/>
    </row>
    <row r="8" spans="2:50" s="190" customFormat="1" ht="14.25" customHeight="1">
      <c r="B8" s="505" t="s">
        <v>110</v>
      </c>
      <c r="C8" s="505"/>
      <c r="D8" s="192"/>
      <c r="E8" s="193"/>
      <c r="F8" s="193"/>
      <c r="G8" s="194"/>
      <c r="H8" s="193"/>
    </row>
    <row r="9" spans="2:50" s="189" customFormat="1" ht="14.25" customHeight="1">
      <c r="B9" s="187" t="s">
        <v>111</v>
      </c>
      <c r="C9" s="188"/>
      <c r="D9" s="188"/>
      <c r="E9" s="188"/>
      <c r="F9" s="188"/>
      <c r="G9" s="188"/>
      <c r="H9" s="188"/>
    </row>
    <row r="10" spans="2:50" s="189" customFormat="1" ht="14.25" customHeight="1">
      <c r="B10" s="505" t="s">
        <v>259</v>
      </c>
      <c r="C10" s="505"/>
      <c r="D10" s="195"/>
      <c r="E10" s="196"/>
      <c r="F10" s="196"/>
      <c r="G10" s="196"/>
      <c r="H10" s="196"/>
      <c r="I10" s="197"/>
    </row>
    <row r="11" spans="2:50" s="189" customFormat="1" ht="14.25" customHeight="1">
      <c r="B11" s="505" t="s">
        <v>261</v>
      </c>
      <c r="C11" s="505"/>
      <c r="D11" s="198"/>
      <c r="E11" s="198"/>
      <c r="F11" s="198"/>
      <c r="G11" s="198"/>
      <c r="H11" s="198"/>
    </row>
    <row r="12" spans="2:50" s="190" customFormat="1" ht="14.25" customHeight="1">
      <c r="B12" s="505" t="s">
        <v>260</v>
      </c>
      <c r="C12" s="505"/>
      <c r="D12" s="198"/>
      <c r="E12" s="198"/>
      <c r="F12" s="198"/>
      <c r="G12" s="198"/>
      <c r="H12" s="198"/>
      <c r="J12" s="189"/>
    </row>
    <row r="13" spans="2:50" s="184" customFormat="1" ht="14.25" customHeight="1">
      <c r="B13" s="185"/>
    </row>
    <row r="14" spans="2:50" s="199" customFormat="1" ht="14.25" customHeight="1">
      <c r="B14" s="350" t="s">
        <v>78</v>
      </c>
      <c r="C14" s="351" t="s">
        <v>79</v>
      </c>
      <c r="D14" s="351" t="s">
        <v>119</v>
      </c>
      <c r="E14" s="351" t="s">
        <v>120</v>
      </c>
      <c r="F14" s="351" t="s">
        <v>121</v>
      </c>
      <c r="G14" s="351" t="s">
        <v>122</v>
      </c>
      <c r="H14" s="352" t="s">
        <v>41</v>
      </c>
    </row>
    <row r="15" spans="2:50" s="200" customFormat="1" ht="14.25" customHeight="1">
      <c r="B15" s="201" t="s">
        <v>1</v>
      </c>
      <c r="C15" s="202">
        <f>'2)Units&amp;Revenue'!C6</f>
        <v>0</v>
      </c>
      <c r="D15" s="202">
        <f>'2)Units&amp;Revenue'!C16</f>
        <v>0</v>
      </c>
      <c r="E15" s="202">
        <f>'2)Units&amp;Revenue'!C26</f>
        <v>0</v>
      </c>
      <c r="F15" s="202">
        <f>'2)Units&amp;Revenue'!C36</f>
        <v>0</v>
      </c>
      <c r="G15" s="202">
        <f>'2)Units&amp;Revenue'!C46</f>
        <v>0</v>
      </c>
      <c r="H15" s="203">
        <f t="shared" ref="H15:H21" si="0">SUM(C15:G15)</f>
        <v>0</v>
      </c>
    </row>
    <row r="16" spans="2:50" s="200" customFormat="1" ht="14.25" customHeight="1">
      <c r="B16" s="201" t="s">
        <v>2</v>
      </c>
      <c r="C16" s="202">
        <f>'2)Units&amp;Revenue'!C7</f>
        <v>0</v>
      </c>
      <c r="D16" s="202">
        <f>'2)Units&amp;Revenue'!C17</f>
        <v>0</v>
      </c>
      <c r="E16" s="202">
        <f>'2)Units&amp;Revenue'!C27</f>
        <v>0</v>
      </c>
      <c r="F16" s="202">
        <f>'2)Units&amp;Revenue'!C37</f>
        <v>0</v>
      </c>
      <c r="G16" s="202">
        <f>'2)Units&amp;Revenue'!C47</f>
        <v>0</v>
      </c>
      <c r="H16" s="203">
        <f t="shared" si="0"/>
        <v>0</v>
      </c>
    </row>
    <row r="17" spans="2:8" s="200" customFormat="1" ht="14.25" customHeight="1">
      <c r="B17" s="201" t="s">
        <v>0</v>
      </c>
      <c r="C17" s="202">
        <f>'2)Units&amp;Revenue'!C8</f>
        <v>0</v>
      </c>
      <c r="D17" s="202">
        <f>'2)Units&amp;Revenue'!C18</f>
        <v>0</v>
      </c>
      <c r="E17" s="202">
        <f>'2)Units&amp;Revenue'!C28</f>
        <v>0</v>
      </c>
      <c r="F17" s="202">
        <f>'2)Units&amp;Revenue'!C38</f>
        <v>0</v>
      </c>
      <c r="G17" s="202">
        <f>'2)Units&amp;Revenue'!C48</f>
        <v>0</v>
      </c>
      <c r="H17" s="203">
        <f t="shared" si="0"/>
        <v>0</v>
      </c>
    </row>
    <row r="18" spans="2:8" s="200" customFormat="1" ht="14.25" customHeight="1">
      <c r="B18" s="201" t="s">
        <v>3</v>
      </c>
      <c r="C18" s="202">
        <f>'2)Units&amp;Revenue'!C9</f>
        <v>0</v>
      </c>
      <c r="D18" s="202">
        <f>'2)Units&amp;Revenue'!C19</f>
        <v>0</v>
      </c>
      <c r="E18" s="202">
        <f>'2)Units&amp;Revenue'!C29</f>
        <v>0</v>
      </c>
      <c r="F18" s="202">
        <f>'2)Units&amp;Revenue'!C39</f>
        <v>0</v>
      </c>
      <c r="G18" s="202">
        <f>'2)Units&amp;Revenue'!C49</f>
        <v>0</v>
      </c>
      <c r="H18" s="203">
        <f t="shared" si="0"/>
        <v>0</v>
      </c>
    </row>
    <row r="19" spans="2:8" s="200" customFormat="1" ht="14.25" customHeight="1">
      <c r="B19" s="201" t="s">
        <v>291</v>
      </c>
      <c r="C19" s="202">
        <f>'2)Units&amp;Revenue'!C10</f>
        <v>0</v>
      </c>
      <c r="D19" s="202">
        <f>'2)Units&amp;Revenue'!C20</f>
        <v>0</v>
      </c>
      <c r="E19" s="202">
        <f>'2)Units&amp;Revenue'!C30</f>
        <v>0</v>
      </c>
      <c r="F19" s="202">
        <f>'2)Units&amp;Revenue'!C40</f>
        <v>0</v>
      </c>
      <c r="G19" s="202">
        <f>'2)Units&amp;Revenue'!C50</f>
        <v>0</v>
      </c>
      <c r="H19" s="203">
        <f t="shared" si="0"/>
        <v>0</v>
      </c>
    </row>
    <row r="20" spans="2:8" s="200" customFormat="1" ht="14.25" customHeight="1">
      <c r="B20" s="201" t="s">
        <v>178</v>
      </c>
      <c r="C20" s="202">
        <f>'2)Units&amp;Revenue'!C11</f>
        <v>0</v>
      </c>
      <c r="D20" s="202">
        <f>'2)Units&amp;Revenue'!C21</f>
        <v>0</v>
      </c>
      <c r="E20" s="202">
        <f>'2)Units&amp;Revenue'!C31</f>
        <v>0</v>
      </c>
      <c r="F20" s="202">
        <f>'2)Units&amp;Revenue'!C41</f>
        <v>0</v>
      </c>
      <c r="G20" s="202">
        <f>'2)Units&amp;Revenue'!C51</f>
        <v>0</v>
      </c>
      <c r="H20" s="203">
        <f t="shared" si="0"/>
        <v>0</v>
      </c>
    </row>
    <row r="21" spans="2:8" s="200" customFormat="1" ht="14.25" customHeight="1">
      <c r="B21" s="204" t="s">
        <v>115</v>
      </c>
      <c r="C21" s="202">
        <f>'2)Units&amp;Revenue'!C12</f>
        <v>0</v>
      </c>
      <c r="D21" s="202">
        <f>'2)Units&amp;Revenue'!C22</f>
        <v>0</v>
      </c>
      <c r="E21" s="202">
        <f>'2)Units&amp;Revenue'!C32</f>
        <v>0</v>
      </c>
      <c r="F21" s="202">
        <f>'2)Units&amp;Revenue'!C42</f>
        <v>0</v>
      </c>
      <c r="G21" s="202">
        <f>'2)Units&amp;Revenue'!C52</f>
        <v>0</v>
      </c>
      <c r="H21" s="203">
        <f t="shared" si="0"/>
        <v>0</v>
      </c>
    </row>
    <row r="22" spans="2:8" s="205" customFormat="1" ht="14.25" customHeight="1">
      <c r="B22" s="354" t="s">
        <v>123</v>
      </c>
      <c r="C22" s="353">
        <f t="shared" ref="C22:H22" si="1">SUM(C15:C21)</f>
        <v>0</v>
      </c>
      <c r="D22" s="353">
        <f t="shared" si="1"/>
        <v>0</v>
      </c>
      <c r="E22" s="353">
        <f t="shared" si="1"/>
        <v>0</v>
      </c>
      <c r="F22" s="353">
        <f t="shared" si="1"/>
        <v>0</v>
      </c>
      <c r="G22" s="353">
        <f t="shared" si="1"/>
        <v>0</v>
      </c>
      <c r="H22" s="355">
        <f t="shared" si="1"/>
        <v>0</v>
      </c>
    </row>
    <row r="23" spans="2:8" s="184" customFormat="1" ht="14.25" customHeight="1">
      <c r="B23" s="185"/>
      <c r="H23" s="206" t="str">
        <f>IF(Units=H22,"","Error: Unit Count Off")</f>
        <v/>
      </c>
    </row>
    <row r="24" spans="2:8" s="184" customFormat="1" ht="14.25" customHeight="1">
      <c r="B24" s="207" t="s">
        <v>150</v>
      </c>
      <c r="C24" s="207"/>
      <c r="D24" s="208" t="s">
        <v>31</v>
      </c>
      <c r="E24" s="208" t="s">
        <v>32</v>
      </c>
    </row>
    <row r="25" spans="2:8" s="184" customFormat="1" ht="14.25" customHeight="1">
      <c r="B25" s="184" t="s">
        <v>81</v>
      </c>
      <c r="D25" s="209">
        <f>'3)Operating Budget'!D5</f>
        <v>0</v>
      </c>
      <c r="E25" s="209" t="e">
        <f>D25/Units</f>
        <v>#DIV/0!</v>
      </c>
      <c r="F25" s="506" t="s">
        <v>80</v>
      </c>
      <c r="G25" s="506"/>
      <c r="H25" s="210" t="e">
        <f>'2)Units&amp;Revenue'!H57</f>
        <v>#DIV/0!</v>
      </c>
    </row>
    <row r="26" spans="2:8" s="184" customFormat="1" ht="14.25" customHeight="1">
      <c r="B26" s="184" t="s">
        <v>86</v>
      </c>
      <c r="D26" s="209">
        <f>'3)Operating Budget'!D6</f>
        <v>0</v>
      </c>
      <c r="E26" s="209" t="e">
        <f>D26/Units</f>
        <v>#DIV/0!</v>
      </c>
      <c r="F26" s="211"/>
      <c r="G26" s="211"/>
      <c r="H26" s="212"/>
    </row>
    <row r="27" spans="2:8" s="184" customFormat="1" ht="14.25" customHeight="1">
      <c r="B27" s="154" t="s">
        <v>326</v>
      </c>
      <c r="D27" s="209">
        <f>'3)Operating Budget'!D8</f>
        <v>0</v>
      </c>
      <c r="E27" s="209"/>
      <c r="F27" s="211"/>
      <c r="G27" s="211"/>
      <c r="H27" s="212"/>
    </row>
    <row r="28" spans="2:8" s="184" customFormat="1" ht="14.25" customHeight="1">
      <c r="B28" s="154" t="s">
        <v>82</v>
      </c>
      <c r="D28" s="209">
        <f>'3)Operating Budget'!D74</f>
        <v>3000</v>
      </c>
      <c r="E28" s="209" t="e">
        <f>D28/Units</f>
        <v>#DIV/0!</v>
      </c>
      <c r="F28" s="506" t="s">
        <v>112</v>
      </c>
      <c r="G28" s="506"/>
      <c r="H28" s="213">
        <f>SqFt</f>
        <v>0</v>
      </c>
    </row>
    <row r="29" spans="2:8" s="184" customFormat="1" ht="14.25" customHeight="1">
      <c r="B29" s="154" t="s">
        <v>85</v>
      </c>
      <c r="D29" s="209">
        <f>'3)Operating Budget'!D76</f>
        <v>-3000</v>
      </c>
      <c r="E29" s="209" t="e">
        <f>D29/Units</f>
        <v>#DIV/0!</v>
      </c>
      <c r="F29" s="506" t="s">
        <v>113</v>
      </c>
      <c r="G29" s="506"/>
      <c r="H29" s="213" t="e">
        <f>H28/Units</f>
        <v>#DIV/0!</v>
      </c>
    </row>
    <row r="30" spans="2:8" s="184" customFormat="1" ht="14.25" customHeight="1">
      <c r="B30" s="154" t="s">
        <v>48</v>
      </c>
      <c r="D30" s="209">
        <f>'3)Operating Budget'!D85</f>
        <v>0</v>
      </c>
      <c r="E30" s="209"/>
      <c r="F30" s="211"/>
      <c r="G30" s="211"/>
      <c r="H30" s="213"/>
    </row>
    <row r="31" spans="2:8" s="184" customFormat="1" ht="14.25" customHeight="1">
      <c r="B31" s="184" t="s">
        <v>83</v>
      </c>
      <c r="D31" s="209">
        <f>'3)Operating Budget'!D88</f>
        <v>-3000</v>
      </c>
      <c r="E31" s="209" t="e">
        <f>D31/Units</f>
        <v>#DIV/0!</v>
      </c>
    </row>
    <row r="32" spans="2:8" s="184" customFormat="1" ht="14.25" customHeight="1">
      <c r="B32" s="184" t="s">
        <v>84</v>
      </c>
      <c r="D32" s="214" t="str">
        <f>'3)Operating Budget'!D86</f>
        <v>n/a</v>
      </c>
      <c r="E32" s="191"/>
    </row>
    <row r="33" spans="1:42" s="184" customFormat="1" ht="14.25" customHeight="1">
      <c r="B33" s="185"/>
    </row>
    <row r="34" spans="1:42" s="184" customFormat="1" ht="14.25" customHeight="1">
      <c r="B34" s="215" t="s">
        <v>87</v>
      </c>
      <c r="C34" s="216"/>
      <c r="D34" s="217"/>
      <c r="E34" s="218" t="s">
        <v>41</v>
      </c>
      <c r="F34" s="208" t="s">
        <v>32</v>
      </c>
      <c r="G34" s="208" t="s">
        <v>67</v>
      </c>
      <c r="H34" s="219" t="s">
        <v>125</v>
      </c>
    </row>
    <row r="35" spans="1:42" s="184" customFormat="1" ht="14.25" customHeight="1">
      <c r="B35" s="220" t="s">
        <v>39</v>
      </c>
      <c r="C35" s="220"/>
      <c r="D35" s="221"/>
      <c r="E35" s="222">
        <f>'5)Dev Budget'!G8</f>
        <v>0</v>
      </c>
      <c r="F35" s="223" t="e">
        <f t="shared" ref="F35:F41" si="2">E35/Units</f>
        <v>#DIV/0!</v>
      </c>
      <c r="G35" s="224" t="e">
        <f t="shared" ref="G35:G42" si="3">E35/$E$42</f>
        <v>#DIV/0!</v>
      </c>
      <c r="H35" s="225"/>
    </row>
    <row r="36" spans="1:42" s="184" customFormat="1" ht="14.25" customHeight="1">
      <c r="B36" s="216" t="s">
        <v>239</v>
      </c>
      <c r="C36" s="216"/>
      <c r="D36" s="217"/>
      <c r="E36" s="223">
        <f>'5)Dev Budget'!G10</f>
        <v>0</v>
      </c>
      <c r="F36" s="223" t="e">
        <f t="shared" si="2"/>
        <v>#DIV/0!</v>
      </c>
      <c r="G36" s="224" t="e">
        <f t="shared" si="3"/>
        <v>#DIV/0!</v>
      </c>
      <c r="H36" s="226"/>
    </row>
    <row r="37" spans="1:42" s="184" customFormat="1" ht="14.25" customHeight="1">
      <c r="B37" s="216" t="s">
        <v>383</v>
      </c>
      <c r="C37" s="216"/>
      <c r="D37" s="217"/>
      <c r="E37" s="223">
        <f>'5)Dev Budget'!G37</f>
        <v>0</v>
      </c>
      <c r="F37" s="223" t="e">
        <f t="shared" si="2"/>
        <v>#DIV/0!</v>
      </c>
      <c r="G37" s="224" t="e">
        <f t="shared" si="3"/>
        <v>#DIV/0!</v>
      </c>
      <c r="H37" s="227" t="e">
        <f>E37/$H$28</f>
        <v>#DIV/0!</v>
      </c>
      <c r="I37" s="228"/>
    </row>
    <row r="38" spans="1:42" s="184" customFormat="1" ht="14.25" customHeight="1">
      <c r="B38" s="216" t="s">
        <v>241</v>
      </c>
      <c r="C38" s="216"/>
      <c r="D38" s="217"/>
      <c r="E38" s="223">
        <f>'5)Dev Budget'!G61</f>
        <v>0</v>
      </c>
      <c r="F38" s="223" t="e">
        <f t="shared" si="2"/>
        <v>#DIV/0!</v>
      </c>
      <c r="G38" s="224" t="e">
        <f t="shared" si="3"/>
        <v>#DIV/0!</v>
      </c>
      <c r="H38" s="227"/>
    </row>
    <row r="39" spans="1:42" s="184" customFormat="1" ht="14.25" customHeight="1">
      <c r="B39" s="216" t="s">
        <v>244</v>
      </c>
      <c r="C39" s="216"/>
      <c r="D39" s="217"/>
      <c r="E39" s="223">
        <f>'5)Dev Budget'!G107</f>
        <v>0</v>
      </c>
      <c r="F39" s="223" t="e">
        <f t="shared" si="2"/>
        <v>#DIV/0!</v>
      </c>
      <c r="G39" s="224" t="e">
        <f t="shared" si="3"/>
        <v>#DIV/0!</v>
      </c>
      <c r="H39" s="226"/>
    </row>
    <row r="40" spans="1:42" s="184" customFormat="1" ht="14.25" customHeight="1">
      <c r="B40" s="216" t="s">
        <v>242</v>
      </c>
      <c r="C40" s="216"/>
      <c r="D40" s="217"/>
      <c r="E40" s="223">
        <f>'5)Dev Budget'!G117</f>
        <v>0</v>
      </c>
      <c r="F40" s="223" t="e">
        <f t="shared" si="2"/>
        <v>#DIV/0!</v>
      </c>
      <c r="G40" s="224" t="e">
        <f t="shared" si="3"/>
        <v>#DIV/0!</v>
      </c>
      <c r="H40" s="226"/>
    </row>
    <row r="41" spans="1:42" s="184" customFormat="1" ht="14.25" customHeight="1">
      <c r="B41" s="229" t="s">
        <v>40</v>
      </c>
      <c r="C41" s="229"/>
      <c r="D41" s="207"/>
      <c r="E41" s="230">
        <f>'5)Dev Budget'!G123</f>
        <v>0</v>
      </c>
      <c r="F41" s="230" t="e">
        <f t="shared" si="2"/>
        <v>#DIV/0!</v>
      </c>
      <c r="G41" s="231" t="e">
        <f t="shared" si="3"/>
        <v>#DIV/0!</v>
      </c>
      <c r="H41" s="232"/>
    </row>
    <row r="42" spans="1:42" s="184" customFormat="1" ht="14.25" customHeight="1">
      <c r="B42" s="233" t="s">
        <v>88</v>
      </c>
      <c r="E42" s="234">
        <f>SUM(E35:E41)</f>
        <v>0</v>
      </c>
      <c r="F42" s="234" t="e">
        <f t="shared" ref="F42" si="4">E42/Units</f>
        <v>#DIV/0!</v>
      </c>
      <c r="G42" s="224" t="e">
        <f t="shared" si="3"/>
        <v>#DIV/0!</v>
      </c>
      <c r="H42" s="235" t="e">
        <f>E42/H28</f>
        <v>#DIV/0!</v>
      </c>
      <c r="I42" s="228"/>
    </row>
    <row r="43" spans="1:42" s="184" customFormat="1" ht="14.25" customHeight="1">
      <c r="B43" s="233"/>
    </row>
    <row r="44" spans="1:42" ht="14.25" customHeight="1">
      <c r="B44" s="236" t="s">
        <v>36</v>
      </c>
      <c r="C44" s="217"/>
      <c r="D44" s="217"/>
      <c r="E44" s="218" t="s">
        <v>41</v>
      </c>
      <c r="F44" s="218" t="s">
        <v>32</v>
      </c>
      <c r="G44" s="218" t="s">
        <v>67</v>
      </c>
      <c r="H44" s="237"/>
      <c r="I44" s="510"/>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row>
    <row r="45" spans="1:42" ht="14.25" customHeight="1">
      <c r="B45" s="504" t="s">
        <v>357</v>
      </c>
      <c r="C45" s="504"/>
      <c r="D45" s="504"/>
      <c r="E45" s="238">
        <f>'3)Operating Budget'!D84</f>
        <v>0</v>
      </c>
      <c r="F45" s="222" t="e">
        <f t="shared" ref="F45:F52" si="5">E45/Units</f>
        <v>#DIV/0!</v>
      </c>
      <c r="G45" s="239" t="e">
        <f>E45/$E$42</f>
        <v>#DIV/0!</v>
      </c>
      <c r="H45" s="240"/>
      <c r="I45" s="510"/>
      <c r="J45" s="184"/>
      <c r="K45" s="241"/>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row>
    <row r="46" spans="1:42" s="244" customFormat="1" ht="14.25" customHeight="1">
      <c r="A46" s="242"/>
      <c r="B46" s="216" t="s">
        <v>172</v>
      </c>
      <c r="C46" s="216"/>
      <c r="D46" s="216"/>
      <c r="E46" s="223">
        <f>Equity</f>
        <v>0</v>
      </c>
      <c r="F46" s="223" t="e">
        <f t="shared" si="5"/>
        <v>#DIV/0!</v>
      </c>
      <c r="G46" s="224" t="e">
        <f t="shared" ref="G46:G52" si="6">E46/$E$42</f>
        <v>#DIV/0!</v>
      </c>
      <c r="H46" s="243"/>
      <c r="I46" s="510"/>
      <c r="J46" s="184"/>
      <c r="K46" s="241"/>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row>
    <row r="47" spans="1:42" ht="14.25" customHeight="1">
      <c r="B47" s="501" t="s">
        <v>381</v>
      </c>
      <c r="C47" s="501"/>
      <c r="D47" s="501"/>
      <c r="E47" s="245"/>
      <c r="F47" s="223" t="e">
        <f t="shared" si="5"/>
        <v>#DIV/0!</v>
      </c>
      <c r="G47" s="224" t="e">
        <f t="shared" si="6"/>
        <v>#DIV/0!</v>
      </c>
      <c r="H47" s="240"/>
      <c r="I47" s="246"/>
      <c r="J47" s="184"/>
      <c r="K47" s="241"/>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row>
    <row r="48" spans="1:42" ht="14.25" customHeight="1">
      <c r="B48" s="501"/>
      <c r="C48" s="501"/>
      <c r="D48" s="501"/>
      <c r="E48" s="245"/>
      <c r="F48" s="223" t="e">
        <f t="shared" si="5"/>
        <v>#DIV/0!</v>
      </c>
      <c r="G48" s="224" t="e">
        <f t="shared" si="6"/>
        <v>#DIV/0!</v>
      </c>
      <c r="H48" s="240"/>
      <c r="I48" s="246"/>
      <c r="J48" s="184"/>
      <c r="K48" s="241"/>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row>
    <row r="49" spans="2:42" ht="14.25" customHeight="1">
      <c r="B49" s="501"/>
      <c r="C49" s="501"/>
      <c r="D49" s="501"/>
      <c r="E49" s="245"/>
      <c r="F49" s="223" t="e">
        <f t="shared" si="5"/>
        <v>#DIV/0!</v>
      </c>
      <c r="G49" s="224" t="e">
        <f t="shared" si="6"/>
        <v>#DIV/0!</v>
      </c>
      <c r="H49" s="240"/>
      <c r="I49" s="246"/>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row>
    <row r="50" spans="2:42" ht="14.25" customHeight="1">
      <c r="B50" s="501"/>
      <c r="C50" s="501"/>
      <c r="D50" s="501"/>
      <c r="E50" s="245"/>
      <c r="F50" s="223" t="e">
        <f t="shared" si="5"/>
        <v>#DIV/0!</v>
      </c>
      <c r="G50" s="224" t="e">
        <f t="shared" si="6"/>
        <v>#DIV/0!</v>
      </c>
      <c r="H50" s="240"/>
      <c r="I50" s="246"/>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row>
    <row r="51" spans="2:42" ht="14.25" customHeight="1">
      <c r="B51" s="216" t="s">
        <v>384</v>
      </c>
      <c r="C51" s="216"/>
      <c r="D51" s="216"/>
      <c r="E51" s="223">
        <f>'8)Lease-Up'!I9</f>
        <v>0</v>
      </c>
      <c r="F51" s="223" t="e">
        <f t="shared" si="5"/>
        <v>#DIV/0!</v>
      </c>
      <c r="G51" s="224" t="e">
        <f t="shared" si="6"/>
        <v>#DIV/0!</v>
      </c>
      <c r="I51" s="247" t="str">
        <f>(100*'8)Lease-Up'!I8&amp;"% of Pre-Conversion NOI")</f>
        <v>75% of Pre-Conversion NOI</v>
      </c>
      <c r="J51" s="184"/>
      <c r="K51" s="241"/>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row>
    <row r="52" spans="2:42" ht="14.25" customHeight="1" thickBot="1">
      <c r="B52" s="511" t="s">
        <v>164</v>
      </c>
      <c r="C52" s="511"/>
      <c r="D52" s="511"/>
      <c r="E52" s="248"/>
      <c r="F52" s="249" t="e">
        <f t="shared" si="5"/>
        <v>#DIV/0!</v>
      </c>
      <c r="G52" s="250" t="e">
        <f t="shared" si="6"/>
        <v>#DIV/0!</v>
      </c>
      <c r="H52" s="240"/>
      <c r="I52" s="247" t="e">
        <f>(ROUND(DDF/E41,2)*100&amp;"% of fee deferred")</f>
        <v>#DIV/0!</v>
      </c>
      <c r="J52" s="184"/>
      <c r="K52" s="241"/>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row>
    <row r="53" spans="2:42" s="184" customFormat="1" ht="14.25" customHeight="1">
      <c r="B53" s="251" t="s">
        <v>89</v>
      </c>
      <c r="C53" s="252"/>
      <c r="D53" s="252"/>
      <c r="E53" s="234">
        <f>SUM(E45:E52)</f>
        <v>0</v>
      </c>
      <c r="F53" s="234" t="e">
        <f>SUM(F45:F52)</f>
        <v>#DIV/0!</v>
      </c>
      <c r="G53" s="253" t="e">
        <f>SUM(G45:G52)</f>
        <v>#DIV/0!</v>
      </c>
      <c r="H53" s="254"/>
      <c r="K53" s="241"/>
    </row>
    <row r="54" spans="2:42" s="184" customFormat="1" ht="14.25" customHeight="1" thickBot="1">
      <c r="B54" s="255"/>
      <c r="C54" s="256"/>
      <c r="D54" s="256"/>
      <c r="E54" s="256"/>
      <c r="F54" s="257"/>
      <c r="G54" s="258"/>
    </row>
    <row r="55" spans="2:42" s="259" customFormat="1" ht="14.25" customHeight="1" thickBot="1">
      <c r="B55" s="260" t="s">
        <v>385</v>
      </c>
      <c r="C55" s="261"/>
      <c r="D55" s="261"/>
      <c r="E55" s="262">
        <f>E53-TDC</f>
        <v>0</v>
      </c>
      <c r="F55" s="262" t="e">
        <f>E55/Units</f>
        <v>#DIV/0!</v>
      </c>
      <c r="G55" s="263" t="e">
        <f>E55/E42</f>
        <v>#DIV/0!</v>
      </c>
      <c r="H55" s="264"/>
    </row>
    <row r="56" spans="2:42" s="184" customFormat="1">
      <c r="B56" s="233"/>
    </row>
    <row r="57" spans="2:42" s="184" customFormat="1">
      <c r="B57" s="512" t="s">
        <v>286</v>
      </c>
      <c r="C57" s="512"/>
      <c r="D57" s="512"/>
      <c r="E57" s="512"/>
      <c r="F57" s="512"/>
      <c r="G57" s="512"/>
    </row>
    <row r="58" spans="2:42" s="184" customFormat="1">
      <c r="B58" s="500"/>
      <c r="C58" s="500"/>
      <c r="D58" s="500"/>
      <c r="E58" s="500"/>
      <c r="F58" s="500"/>
      <c r="G58" s="500"/>
      <c r="H58" s="500"/>
    </row>
    <row r="59" spans="2:42" s="184" customFormat="1">
      <c r="B59" s="500"/>
      <c r="C59" s="500"/>
      <c r="D59" s="500"/>
      <c r="E59" s="500"/>
      <c r="F59" s="500"/>
      <c r="G59" s="500"/>
      <c r="H59" s="500"/>
    </row>
    <row r="60" spans="2:42" s="184" customFormat="1">
      <c r="B60" s="500"/>
      <c r="C60" s="500"/>
      <c r="D60" s="500"/>
      <c r="E60" s="500"/>
      <c r="F60" s="500"/>
      <c r="G60" s="500"/>
      <c r="H60" s="500"/>
    </row>
    <row r="61" spans="2:42" s="184" customFormat="1">
      <c r="B61" s="500"/>
      <c r="C61" s="500"/>
      <c r="D61" s="500"/>
      <c r="E61" s="500"/>
      <c r="F61" s="500"/>
      <c r="G61" s="500"/>
      <c r="H61" s="500"/>
    </row>
    <row r="62" spans="2:42" s="184" customFormat="1">
      <c r="B62" s="500"/>
      <c r="C62" s="500"/>
      <c r="D62" s="500"/>
      <c r="E62" s="500"/>
      <c r="F62" s="500"/>
      <c r="G62" s="500"/>
      <c r="H62" s="500"/>
    </row>
    <row r="63" spans="2:42" s="184" customFormat="1">
      <c r="B63" s="500"/>
      <c r="C63" s="500"/>
      <c r="D63" s="500"/>
      <c r="E63" s="500"/>
      <c r="F63" s="500"/>
      <c r="G63" s="500"/>
      <c r="H63" s="500"/>
    </row>
    <row r="64" spans="2:42" s="184" customFormat="1">
      <c r="B64" s="500"/>
      <c r="C64" s="500"/>
      <c r="D64" s="500"/>
      <c r="E64" s="500"/>
      <c r="F64" s="500"/>
      <c r="G64" s="500"/>
      <c r="H64" s="500"/>
    </row>
    <row r="65" spans="2:8" s="184" customFormat="1">
      <c r="B65" s="500"/>
      <c r="C65" s="500"/>
      <c r="D65" s="500"/>
      <c r="E65" s="500"/>
      <c r="F65" s="500"/>
      <c r="G65" s="500"/>
      <c r="H65" s="500"/>
    </row>
    <row r="66" spans="2:8" s="184" customFormat="1">
      <c r="B66" s="500"/>
      <c r="C66" s="500"/>
      <c r="D66" s="500"/>
      <c r="E66" s="500"/>
      <c r="F66" s="500"/>
      <c r="G66" s="500"/>
      <c r="H66" s="500"/>
    </row>
    <row r="67" spans="2:8" s="184" customFormat="1">
      <c r="B67" s="500"/>
      <c r="C67" s="500"/>
      <c r="D67" s="500"/>
      <c r="E67" s="500"/>
      <c r="F67" s="500"/>
      <c r="G67" s="500"/>
      <c r="H67" s="500"/>
    </row>
    <row r="68" spans="2:8" s="184" customFormat="1">
      <c r="B68" s="500"/>
      <c r="C68" s="500"/>
      <c r="D68" s="500"/>
      <c r="E68" s="500"/>
      <c r="F68" s="500"/>
      <c r="G68" s="500"/>
      <c r="H68" s="500"/>
    </row>
    <row r="69" spans="2:8" s="184" customFormat="1">
      <c r="B69" s="500"/>
      <c r="C69" s="500"/>
      <c r="D69" s="500"/>
      <c r="E69" s="500"/>
      <c r="F69" s="500"/>
      <c r="G69" s="500"/>
      <c r="H69" s="500"/>
    </row>
    <row r="70" spans="2:8" s="184" customFormat="1">
      <c r="B70" s="500"/>
      <c r="C70" s="500"/>
      <c r="D70" s="500"/>
      <c r="E70" s="500"/>
      <c r="F70" s="500"/>
      <c r="G70" s="500"/>
      <c r="H70" s="500"/>
    </row>
    <row r="71" spans="2:8" s="184" customFormat="1">
      <c r="B71" s="500"/>
      <c r="C71" s="500"/>
      <c r="D71" s="500"/>
      <c r="E71" s="500"/>
      <c r="F71" s="500"/>
      <c r="G71" s="500"/>
      <c r="H71" s="500"/>
    </row>
    <row r="72" spans="2:8" s="184" customFormat="1">
      <c r="B72" s="500"/>
      <c r="C72" s="500"/>
      <c r="D72" s="500"/>
      <c r="E72" s="500"/>
      <c r="F72" s="500"/>
      <c r="G72" s="500"/>
      <c r="H72" s="500"/>
    </row>
    <row r="73" spans="2:8" s="184" customFormat="1">
      <c r="B73" s="500"/>
      <c r="C73" s="500"/>
      <c r="D73" s="500"/>
      <c r="E73" s="500"/>
      <c r="F73" s="500"/>
      <c r="G73" s="500"/>
      <c r="H73" s="500"/>
    </row>
    <row r="74" spans="2:8" s="184" customFormat="1">
      <c r="B74" s="500"/>
      <c r="C74" s="500"/>
      <c r="D74" s="500"/>
      <c r="E74" s="500"/>
      <c r="F74" s="500"/>
      <c r="G74" s="500"/>
      <c r="H74" s="500"/>
    </row>
    <row r="75" spans="2:8" s="184" customFormat="1">
      <c r="B75" s="500"/>
      <c r="C75" s="500"/>
      <c r="D75" s="500"/>
      <c r="E75" s="500"/>
      <c r="F75" s="500"/>
      <c r="G75" s="500"/>
      <c r="H75" s="500"/>
    </row>
    <row r="76" spans="2:8" s="184" customFormat="1">
      <c r="B76" s="500"/>
      <c r="C76" s="500"/>
      <c r="D76" s="500"/>
      <c r="E76" s="500"/>
      <c r="F76" s="500"/>
      <c r="G76" s="500"/>
      <c r="H76" s="500"/>
    </row>
    <row r="77" spans="2:8" s="184" customFormat="1">
      <c r="B77" s="185"/>
    </row>
    <row r="78" spans="2:8" s="184" customFormat="1">
      <c r="B78" s="185"/>
    </row>
    <row r="79" spans="2:8" s="184" customFormat="1">
      <c r="B79" s="185"/>
    </row>
    <row r="80" spans="2:8" s="184" customFormat="1">
      <c r="B80" s="185"/>
    </row>
    <row r="81" spans="2:7" s="184" customFormat="1">
      <c r="B81" s="185"/>
    </row>
    <row r="82" spans="2:7" s="184" customFormat="1">
      <c r="B82" s="185"/>
    </row>
    <row r="83" spans="2:7" s="184" customFormat="1">
      <c r="B83" s="185"/>
    </row>
    <row r="84" spans="2:7" s="184" customFormat="1">
      <c r="B84" s="185"/>
    </row>
    <row r="85" spans="2:7" s="184" customFormat="1">
      <c r="B85" s="185"/>
    </row>
    <row r="86" spans="2:7" s="184" customFormat="1">
      <c r="B86" s="185"/>
    </row>
    <row r="87" spans="2:7" s="184" customFormat="1">
      <c r="B87" s="185"/>
    </row>
    <row r="88" spans="2:7" s="184" customFormat="1">
      <c r="B88" s="185"/>
    </row>
    <row r="89" spans="2:7" s="184" customFormat="1">
      <c r="B89" s="185"/>
    </row>
    <row r="90" spans="2:7">
      <c r="E90" s="184"/>
      <c r="F90" s="184"/>
      <c r="G90" s="184"/>
    </row>
    <row r="91" spans="2:7">
      <c r="E91" s="184"/>
      <c r="F91" s="184"/>
      <c r="G91" s="184"/>
    </row>
  </sheetData>
  <sheetProtection algorithmName="SHA-512" hashValue="RRkzsUBFEdIHWiEjloNhsp4ygNQHhXYNR5z2UZrRgua03x7ZTr45JTauo57MARPiCKZtxBNWBD6rb+zXR18D8A==" saltValue="o/eTHcjma9WHxa7MWZw56g==" spinCount="100000" sheet="1" objects="1" scenarios="1"/>
  <mergeCells count="44">
    <mergeCell ref="I44:I46"/>
    <mergeCell ref="B58:H58"/>
    <mergeCell ref="B59:H59"/>
    <mergeCell ref="B60:H60"/>
    <mergeCell ref="B61:H61"/>
    <mergeCell ref="B50:D50"/>
    <mergeCell ref="B52:D52"/>
    <mergeCell ref="B48:D48"/>
    <mergeCell ref="B49:D49"/>
    <mergeCell ref="B57:G57"/>
    <mergeCell ref="B1:H1"/>
    <mergeCell ref="B45:D45"/>
    <mergeCell ref="B10:C10"/>
    <mergeCell ref="B4:C4"/>
    <mergeCell ref="B5:C5"/>
    <mergeCell ref="B6:C6"/>
    <mergeCell ref="B7:C7"/>
    <mergeCell ref="B8:C8"/>
    <mergeCell ref="B11:C11"/>
    <mergeCell ref="B12:C12"/>
    <mergeCell ref="F25:G25"/>
    <mergeCell ref="F28:G28"/>
    <mergeCell ref="F29:G29"/>
    <mergeCell ref="D4:H4"/>
    <mergeCell ref="D5:H5"/>
    <mergeCell ref="D6:H6"/>
    <mergeCell ref="B75:H75"/>
    <mergeCell ref="B76:H76"/>
    <mergeCell ref="B67:H67"/>
    <mergeCell ref="B68:H68"/>
    <mergeCell ref="B69:H69"/>
    <mergeCell ref="B70:H70"/>
    <mergeCell ref="B71:H71"/>
    <mergeCell ref="D7:E7"/>
    <mergeCell ref="G7:H7"/>
    <mergeCell ref="B72:H72"/>
    <mergeCell ref="B73:H73"/>
    <mergeCell ref="B74:H74"/>
    <mergeCell ref="B63:H63"/>
    <mergeCell ref="B62:H62"/>
    <mergeCell ref="B64:H64"/>
    <mergeCell ref="B65:H65"/>
    <mergeCell ref="B66:H66"/>
    <mergeCell ref="B47:D47"/>
  </mergeCells>
  <phoneticPr fontId="0" type="noConversion"/>
  <printOptions horizontalCentered="1"/>
  <pageMargins left="0.75" right="0.75"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09"/>
  <sheetViews>
    <sheetView showGridLines="0" zoomScaleNormal="100" workbookViewId="0">
      <selection activeCell="F56" sqref="F56"/>
    </sheetView>
  </sheetViews>
  <sheetFormatPr defaultColWidth="8.8203125" defaultRowHeight="12.7" outlineLevelRow="1"/>
  <cols>
    <col min="1" max="1" width="4.3515625" style="76" bestFit="1" customWidth="1"/>
    <col min="2" max="2" width="10.703125" style="76" customWidth="1"/>
    <col min="3" max="3" width="9.29296875" style="85" bestFit="1" customWidth="1"/>
    <col min="4" max="4" width="11.703125" style="85" customWidth="1"/>
    <col min="5" max="5" width="10.29296875" style="85" bestFit="1" customWidth="1"/>
    <col min="6" max="6" width="9.29296875" style="85" bestFit="1" customWidth="1"/>
    <col min="7" max="7" width="9.29296875" style="76" bestFit="1" customWidth="1"/>
    <col min="8" max="8" width="9.05859375" style="76" bestFit="1" customWidth="1"/>
    <col min="9" max="9" width="10.703125" style="76" bestFit="1" customWidth="1"/>
    <col min="10" max="10" width="9" style="76" customWidth="1"/>
    <col min="11" max="12" width="11.8203125" style="76" customWidth="1"/>
    <col min="13" max="13" width="10.05859375" style="76" customWidth="1"/>
    <col min="14" max="14" width="2" style="76" customWidth="1"/>
    <col min="15" max="15" width="2.9375" style="76" customWidth="1"/>
    <col min="16" max="16384" width="8.8203125" style="76"/>
  </cols>
  <sheetData>
    <row r="1" spans="1:20" s="184" customFormat="1" ht="13" customHeight="1">
      <c r="B1" s="315" t="s">
        <v>376</v>
      </c>
      <c r="C1" s="212"/>
      <c r="D1" s="212"/>
      <c r="E1" s="212"/>
      <c r="F1" s="212"/>
      <c r="P1" s="76"/>
      <c r="Q1" s="76"/>
      <c r="R1" s="76"/>
      <c r="S1" s="76"/>
      <c r="T1" s="76"/>
    </row>
    <row r="2" spans="1:20" ht="16.5" customHeight="1">
      <c r="A2" s="502" t="s">
        <v>76</v>
      </c>
      <c r="B2" s="502"/>
      <c r="C2" s="502"/>
      <c r="D2" s="502"/>
      <c r="E2" s="502"/>
      <c r="F2" s="502"/>
      <c r="G2" s="502"/>
      <c r="H2" s="502"/>
      <c r="I2" s="502"/>
      <c r="J2" s="502"/>
      <c r="K2" s="502"/>
      <c r="L2" s="502"/>
      <c r="M2" s="502"/>
      <c r="N2" s="502"/>
      <c r="O2" s="217"/>
    </row>
    <row r="3" spans="1:20" s="184" customFormat="1">
      <c r="A3" s="217"/>
      <c r="B3" s="265" t="str">
        <f>"Project: "&amp;Project</f>
        <v xml:space="preserve">Project: </v>
      </c>
      <c r="C3" s="268"/>
      <c r="D3" s="268"/>
      <c r="E3" s="266" t="str">
        <f>"Developer: "&amp;Developer</f>
        <v xml:space="preserve">Developer: </v>
      </c>
      <c r="F3" s="267"/>
      <c r="G3" s="518"/>
      <c r="H3" s="518"/>
      <c r="I3" s="518"/>
      <c r="J3" s="217"/>
      <c r="K3" s="217"/>
      <c r="L3" s="217"/>
      <c r="M3" s="217"/>
      <c r="N3" s="217"/>
      <c r="P3" s="76"/>
      <c r="Q3" s="76"/>
      <c r="R3" s="76"/>
      <c r="S3" s="76"/>
      <c r="T3" s="76"/>
    </row>
    <row r="4" spans="1:20" s="184" customFormat="1" ht="13" customHeight="1">
      <c r="O4" s="76"/>
      <c r="P4" s="76"/>
      <c r="Q4" s="76"/>
      <c r="R4" s="76"/>
      <c r="S4" s="76"/>
    </row>
    <row r="5" spans="1:20" s="184" customFormat="1" ht="13" customHeight="1" outlineLevel="1">
      <c r="A5" s="517" t="s">
        <v>141</v>
      </c>
      <c r="B5" s="517"/>
      <c r="C5" s="212" t="s">
        <v>9</v>
      </c>
      <c r="D5" s="269" t="s">
        <v>325</v>
      </c>
      <c r="E5" s="212" t="s">
        <v>6</v>
      </c>
      <c r="F5" s="212" t="s">
        <v>7</v>
      </c>
      <c r="G5" s="212" t="s">
        <v>8</v>
      </c>
      <c r="H5" s="269" t="s">
        <v>175</v>
      </c>
      <c r="I5" s="269" t="s">
        <v>176</v>
      </c>
      <c r="J5" s="269" t="s">
        <v>140</v>
      </c>
      <c r="K5" s="269" t="s">
        <v>139</v>
      </c>
      <c r="L5" s="269" t="s">
        <v>288</v>
      </c>
      <c r="M5" s="269" t="s">
        <v>174</v>
      </c>
      <c r="P5" s="76"/>
      <c r="Q5" s="76"/>
      <c r="R5" s="76"/>
      <c r="S5" s="76"/>
      <c r="T5" s="76"/>
    </row>
    <row r="6" spans="1:20" ht="13" customHeight="1" outlineLevel="1">
      <c r="A6" s="184"/>
      <c r="B6" s="184"/>
      <c r="C6" s="270"/>
      <c r="D6" s="271">
        <v>0.3</v>
      </c>
      <c r="E6" s="270"/>
      <c r="F6" s="272"/>
      <c r="G6" s="273"/>
      <c r="H6" s="180">
        <f>C6*G6</f>
        <v>0</v>
      </c>
      <c r="I6" s="180">
        <f>H6*12</f>
        <v>0</v>
      </c>
      <c r="J6" s="180">
        <f t="shared" ref="J6:J12" si="0">UA0B</f>
        <v>0</v>
      </c>
      <c r="K6" s="274" t="str">
        <f>IF(G6=0,"-",G6+J6)</f>
        <v>-</v>
      </c>
      <c r="L6" s="274">
        <f>D91</f>
        <v>435</v>
      </c>
      <c r="M6" s="275">
        <f>F6*C6</f>
        <v>0</v>
      </c>
      <c r="N6" s="184"/>
      <c r="O6" s="276">
        <f>IF(AND(ISBLANK(G6),C6&gt;0),1,3)</f>
        <v>3</v>
      </c>
    </row>
    <row r="7" spans="1:20" ht="13" customHeight="1" outlineLevel="1">
      <c r="A7" s="184"/>
      <c r="B7" s="184"/>
      <c r="C7" s="270"/>
      <c r="D7" s="271">
        <v>0.4</v>
      </c>
      <c r="E7" s="270"/>
      <c r="F7" s="272"/>
      <c r="G7" s="273"/>
      <c r="H7" s="180">
        <f>C7*G7</f>
        <v>0</v>
      </c>
      <c r="I7" s="180">
        <f>H7*12</f>
        <v>0</v>
      </c>
      <c r="J7" s="180">
        <f t="shared" si="0"/>
        <v>0</v>
      </c>
      <c r="K7" s="274" t="str">
        <f t="shared" ref="K7:K12" si="1">IF(G7=0,"-",G7+J7)</f>
        <v>-</v>
      </c>
      <c r="L7" s="274">
        <f>E91</f>
        <v>581</v>
      </c>
      <c r="M7" s="275">
        <f>F7*C7</f>
        <v>0</v>
      </c>
      <c r="N7" s="184"/>
      <c r="O7" s="276">
        <f>IF(AND(ISBLANK(G7),C7&gt;0),1,3)</f>
        <v>3</v>
      </c>
    </row>
    <row r="8" spans="1:20" ht="13" customHeight="1" outlineLevel="1">
      <c r="A8" s="184"/>
      <c r="B8" s="184"/>
      <c r="C8" s="270"/>
      <c r="D8" s="271">
        <v>0.5</v>
      </c>
      <c r="E8" s="270"/>
      <c r="F8" s="272"/>
      <c r="G8" s="273"/>
      <c r="H8" s="180">
        <f>C8*G8</f>
        <v>0</v>
      </c>
      <c r="I8" s="180">
        <f>H8*12</f>
        <v>0</v>
      </c>
      <c r="J8" s="180">
        <f t="shared" si="0"/>
        <v>0</v>
      </c>
      <c r="K8" s="274" t="str">
        <f t="shared" si="1"/>
        <v>-</v>
      </c>
      <c r="L8" s="274">
        <f>F91</f>
        <v>726</v>
      </c>
      <c r="M8" s="275">
        <f>F8*C8</f>
        <v>0</v>
      </c>
      <c r="N8" s="184"/>
      <c r="O8" s="276">
        <f t="shared" ref="O8:O12" si="2">IF(AND(ISBLANK(G8),C8&gt;0),1,3)</f>
        <v>3</v>
      </c>
    </row>
    <row r="9" spans="1:20" ht="13" customHeight="1" outlineLevel="1">
      <c r="A9" s="184"/>
      <c r="B9" s="184"/>
      <c r="C9" s="270"/>
      <c r="D9" s="271">
        <v>0.6</v>
      </c>
      <c r="E9" s="270"/>
      <c r="F9" s="272"/>
      <c r="G9" s="273"/>
      <c r="H9" s="180">
        <f>C9*G9</f>
        <v>0</v>
      </c>
      <c r="I9" s="180">
        <f>H9*12</f>
        <v>0</v>
      </c>
      <c r="J9" s="180">
        <f t="shared" si="0"/>
        <v>0</v>
      </c>
      <c r="K9" s="274" t="str">
        <f t="shared" si="1"/>
        <v>-</v>
      </c>
      <c r="L9" s="274">
        <f>G91</f>
        <v>871</v>
      </c>
      <c r="M9" s="275">
        <f>F9*C9</f>
        <v>0</v>
      </c>
      <c r="N9" s="184"/>
      <c r="O9" s="276">
        <f t="shared" si="2"/>
        <v>3</v>
      </c>
    </row>
    <row r="10" spans="1:20" ht="13" customHeight="1" outlineLevel="1">
      <c r="A10" s="184"/>
      <c r="B10" s="184"/>
      <c r="C10" s="270"/>
      <c r="D10" s="271">
        <v>0.7</v>
      </c>
      <c r="E10" s="270"/>
      <c r="F10" s="272"/>
      <c r="G10" s="273"/>
      <c r="H10" s="180">
        <f t="shared" ref="H10:H11" si="3">C10*G10</f>
        <v>0</v>
      </c>
      <c r="I10" s="180">
        <f t="shared" ref="I10:I11" si="4">H10*12</f>
        <v>0</v>
      </c>
      <c r="J10" s="180">
        <f t="shared" si="0"/>
        <v>0</v>
      </c>
      <c r="K10" s="274" t="str">
        <f t="shared" ref="K10:K11" si="5">IF(G10=0,"-",G10+J10)</f>
        <v>-</v>
      </c>
      <c r="L10" s="274">
        <f>H91</f>
        <v>1016</v>
      </c>
      <c r="M10" s="275">
        <f t="shared" ref="M10:M11" si="6">F10*C10</f>
        <v>0</v>
      </c>
      <c r="N10" s="184"/>
      <c r="O10" s="276">
        <f t="shared" si="2"/>
        <v>3</v>
      </c>
    </row>
    <row r="11" spans="1:20" ht="13" customHeight="1" outlineLevel="1">
      <c r="A11" s="184"/>
      <c r="B11" s="184"/>
      <c r="C11" s="270"/>
      <c r="D11" s="271">
        <v>0.8</v>
      </c>
      <c r="E11" s="270"/>
      <c r="F11" s="272"/>
      <c r="G11" s="273"/>
      <c r="H11" s="180">
        <f t="shared" si="3"/>
        <v>0</v>
      </c>
      <c r="I11" s="180">
        <f t="shared" si="4"/>
        <v>0</v>
      </c>
      <c r="J11" s="180">
        <f t="shared" si="0"/>
        <v>0</v>
      </c>
      <c r="K11" s="274" t="str">
        <f t="shared" si="5"/>
        <v>-</v>
      </c>
      <c r="L11" s="274">
        <f>I91</f>
        <v>1162</v>
      </c>
      <c r="M11" s="275">
        <f t="shared" si="6"/>
        <v>0</v>
      </c>
      <c r="N11" s="184"/>
      <c r="O11" s="276">
        <f t="shared" si="2"/>
        <v>3</v>
      </c>
    </row>
    <row r="12" spans="1:20" ht="13" customHeight="1" outlineLevel="1">
      <c r="A12" s="184"/>
      <c r="B12" s="184"/>
      <c r="C12" s="277"/>
      <c r="D12" s="208" t="s">
        <v>304</v>
      </c>
      <c r="E12" s="277"/>
      <c r="F12" s="278"/>
      <c r="G12" s="279"/>
      <c r="H12" s="280">
        <f>C12*G12</f>
        <v>0</v>
      </c>
      <c r="I12" s="280">
        <f>H12*12</f>
        <v>0</v>
      </c>
      <c r="J12" s="280">
        <f t="shared" si="0"/>
        <v>0</v>
      </c>
      <c r="K12" s="281" t="str">
        <f t="shared" si="1"/>
        <v>-</v>
      </c>
      <c r="L12" s="281" t="s">
        <v>180</v>
      </c>
      <c r="M12" s="282">
        <f>F12*C12</f>
        <v>0</v>
      </c>
      <c r="N12" s="184"/>
      <c r="O12" s="276">
        <f t="shared" si="2"/>
        <v>3</v>
      </c>
    </row>
    <row r="13" spans="1:20" s="184" customFormat="1" ht="13" customHeight="1" outlineLevel="1">
      <c r="B13" s="184" t="s">
        <v>10</v>
      </c>
      <c r="C13" s="212">
        <f>SUM(C6:C12)</f>
        <v>0</v>
      </c>
      <c r="D13" s="212"/>
      <c r="E13" s="212"/>
      <c r="F13" s="212"/>
      <c r="H13" s="241">
        <f>SUM(H6:H12)</f>
        <v>0</v>
      </c>
      <c r="I13" s="241">
        <f>SUM(I6:I12)</f>
        <v>0</v>
      </c>
      <c r="J13" s="241"/>
      <c r="K13" s="216"/>
      <c r="L13" s="216"/>
      <c r="M13" s="275">
        <f>SUM(M6:M12)</f>
        <v>0</v>
      </c>
      <c r="P13" s="76"/>
      <c r="Q13" s="76"/>
      <c r="R13" s="76"/>
      <c r="S13" s="76"/>
      <c r="T13" s="76"/>
    </row>
    <row r="14" spans="1:20" s="184" customFormat="1" ht="13" customHeight="1">
      <c r="B14" s="314"/>
      <c r="C14" s="212"/>
      <c r="D14" s="212"/>
      <c r="E14" s="212"/>
      <c r="F14" s="212"/>
      <c r="P14" s="76"/>
      <c r="Q14" s="76"/>
      <c r="R14" s="76"/>
      <c r="S14" s="76"/>
      <c r="T14" s="76"/>
    </row>
    <row r="15" spans="1:20" s="184" customFormat="1" ht="13" customHeight="1" outlineLevel="1" collapsed="1">
      <c r="A15" s="517" t="s">
        <v>116</v>
      </c>
      <c r="B15" s="517"/>
      <c r="C15" s="212" t="s">
        <v>9</v>
      </c>
      <c r="D15" s="269" t="s">
        <v>325</v>
      </c>
      <c r="E15" s="212" t="s">
        <v>6</v>
      </c>
      <c r="F15" s="212" t="s">
        <v>7</v>
      </c>
      <c r="G15" s="212" t="s">
        <v>8</v>
      </c>
      <c r="H15" s="269" t="s">
        <v>175</v>
      </c>
      <c r="I15" s="269" t="s">
        <v>176</v>
      </c>
      <c r="J15" s="269" t="s">
        <v>140</v>
      </c>
      <c r="K15" s="269" t="s">
        <v>139</v>
      </c>
      <c r="L15" s="269" t="s">
        <v>288</v>
      </c>
      <c r="M15" s="269" t="s">
        <v>174</v>
      </c>
      <c r="P15" s="76"/>
      <c r="Q15" s="76"/>
      <c r="R15" s="76"/>
      <c r="S15" s="76"/>
      <c r="T15" s="76"/>
    </row>
    <row r="16" spans="1:20" ht="13" customHeight="1" outlineLevel="1">
      <c r="A16" s="184"/>
      <c r="B16" s="283"/>
      <c r="C16" s="270"/>
      <c r="D16" s="271">
        <v>0.3</v>
      </c>
      <c r="E16" s="270"/>
      <c r="F16" s="272"/>
      <c r="G16" s="273"/>
      <c r="H16" s="180">
        <f t="shared" ref="H16:H21" si="7">C16*G16</f>
        <v>0</v>
      </c>
      <c r="I16" s="180">
        <f t="shared" ref="I16:I21" si="8">H16*12</f>
        <v>0</v>
      </c>
      <c r="J16" s="180">
        <f t="shared" ref="J16:J22" si="9">UA1B</f>
        <v>0</v>
      </c>
      <c r="K16" s="274" t="str">
        <f t="shared" ref="K16:K20" si="10">IF(G16=0,"-",G16+J16)</f>
        <v>-</v>
      </c>
      <c r="L16" s="274">
        <f>D92</f>
        <v>466</v>
      </c>
      <c r="M16" s="275">
        <f t="shared" ref="M16:M21" si="11">F16*C16</f>
        <v>0</v>
      </c>
      <c r="N16" s="184"/>
      <c r="O16" s="276">
        <f>IF(AND(ISBLANK(G16),C16&gt;0),1,3)</f>
        <v>3</v>
      </c>
    </row>
    <row r="17" spans="1:20" ht="13" customHeight="1" outlineLevel="1">
      <c r="A17" s="184"/>
      <c r="B17" s="283"/>
      <c r="C17" s="270"/>
      <c r="D17" s="271">
        <v>0.4</v>
      </c>
      <c r="E17" s="270"/>
      <c r="F17" s="272"/>
      <c r="G17" s="273"/>
      <c r="H17" s="180">
        <f t="shared" si="7"/>
        <v>0</v>
      </c>
      <c r="I17" s="180">
        <f t="shared" si="8"/>
        <v>0</v>
      </c>
      <c r="J17" s="180">
        <f t="shared" si="9"/>
        <v>0</v>
      </c>
      <c r="K17" s="274" t="str">
        <f t="shared" si="10"/>
        <v>-</v>
      </c>
      <c r="L17" s="274">
        <f>E92</f>
        <v>622</v>
      </c>
      <c r="M17" s="275">
        <f t="shared" si="11"/>
        <v>0</v>
      </c>
      <c r="N17" s="184"/>
      <c r="O17" s="276">
        <f>IF(AND(ISBLANK(G17),C17&gt;0),1,3)</f>
        <v>3</v>
      </c>
    </row>
    <row r="18" spans="1:20" ht="13" customHeight="1" outlineLevel="1">
      <c r="A18" s="184"/>
      <c r="B18" s="283"/>
      <c r="C18" s="270"/>
      <c r="D18" s="271">
        <v>0.5</v>
      </c>
      <c r="E18" s="270"/>
      <c r="F18" s="272"/>
      <c r="G18" s="273"/>
      <c r="H18" s="180">
        <f t="shared" si="7"/>
        <v>0</v>
      </c>
      <c r="I18" s="180">
        <f t="shared" si="8"/>
        <v>0</v>
      </c>
      <c r="J18" s="180">
        <f t="shared" si="9"/>
        <v>0</v>
      </c>
      <c r="K18" s="274" t="str">
        <f t="shared" ref="K18:K19" si="12">IF(G18=0,"-",G18+J18)</f>
        <v>-</v>
      </c>
      <c r="L18" s="274">
        <f>F92</f>
        <v>778</v>
      </c>
      <c r="M18" s="275">
        <f t="shared" si="11"/>
        <v>0</v>
      </c>
      <c r="N18" s="184"/>
      <c r="O18" s="276">
        <f t="shared" ref="O18:O22" si="13">IF(AND(ISBLANK(G18),C18&gt;0),1,3)</f>
        <v>3</v>
      </c>
    </row>
    <row r="19" spans="1:20" ht="13" customHeight="1" outlineLevel="1">
      <c r="A19" s="184"/>
      <c r="B19" s="283"/>
      <c r="C19" s="270"/>
      <c r="D19" s="271">
        <v>0.6</v>
      </c>
      <c r="E19" s="270"/>
      <c r="F19" s="272"/>
      <c r="G19" s="273"/>
      <c r="H19" s="180">
        <f t="shared" si="7"/>
        <v>0</v>
      </c>
      <c r="I19" s="180">
        <f t="shared" si="8"/>
        <v>0</v>
      </c>
      <c r="J19" s="180">
        <f t="shared" si="9"/>
        <v>0</v>
      </c>
      <c r="K19" s="274" t="str">
        <f t="shared" si="12"/>
        <v>-</v>
      </c>
      <c r="L19" s="274">
        <f>G92</f>
        <v>933</v>
      </c>
      <c r="M19" s="275">
        <f t="shared" si="11"/>
        <v>0</v>
      </c>
      <c r="N19" s="184"/>
      <c r="O19" s="276">
        <f t="shared" si="13"/>
        <v>3</v>
      </c>
    </row>
    <row r="20" spans="1:20" ht="13" customHeight="1" outlineLevel="1">
      <c r="A20" s="184"/>
      <c r="B20" s="283"/>
      <c r="C20" s="270"/>
      <c r="D20" s="271">
        <v>0.7</v>
      </c>
      <c r="E20" s="270"/>
      <c r="F20" s="272"/>
      <c r="G20" s="273"/>
      <c r="H20" s="180">
        <f t="shared" si="7"/>
        <v>0</v>
      </c>
      <c r="I20" s="180">
        <f t="shared" si="8"/>
        <v>0</v>
      </c>
      <c r="J20" s="180">
        <f t="shared" si="9"/>
        <v>0</v>
      </c>
      <c r="K20" s="274" t="str">
        <f t="shared" si="10"/>
        <v>-</v>
      </c>
      <c r="L20" s="274">
        <f>H92</f>
        <v>1089</v>
      </c>
      <c r="M20" s="275">
        <f t="shared" si="11"/>
        <v>0</v>
      </c>
      <c r="N20" s="184"/>
      <c r="O20" s="276">
        <f t="shared" si="13"/>
        <v>3</v>
      </c>
    </row>
    <row r="21" spans="1:20" ht="13" customHeight="1" outlineLevel="1">
      <c r="A21" s="184"/>
      <c r="B21" s="283"/>
      <c r="C21" s="270"/>
      <c r="D21" s="271">
        <v>0.8</v>
      </c>
      <c r="E21" s="270"/>
      <c r="F21" s="272"/>
      <c r="G21" s="273"/>
      <c r="H21" s="180">
        <f t="shared" si="7"/>
        <v>0</v>
      </c>
      <c r="I21" s="180">
        <f t="shared" si="8"/>
        <v>0</v>
      </c>
      <c r="J21" s="180">
        <f t="shared" si="9"/>
        <v>0</v>
      </c>
      <c r="K21" s="274" t="str">
        <f t="shared" ref="K21" si="14">IF(G21=0,"-",G21+J21)</f>
        <v>-</v>
      </c>
      <c r="L21" s="274">
        <f>I92</f>
        <v>1245</v>
      </c>
      <c r="M21" s="275">
        <f t="shared" si="11"/>
        <v>0</v>
      </c>
      <c r="N21" s="184"/>
      <c r="O21" s="276">
        <f t="shared" si="13"/>
        <v>3</v>
      </c>
    </row>
    <row r="22" spans="1:20" ht="13" customHeight="1" outlineLevel="1">
      <c r="A22" s="184"/>
      <c r="B22" s="283"/>
      <c r="C22" s="270"/>
      <c r="D22" s="212" t="s">
        <v>304</v>
      </c>
      <c r="E22" s="270"/>
      <c r="F22" s="272"/>
      <c r="G22" s="273"/>
      <c r="H22" s="180">
        <f t="shared" ref="H22" si="15">C22*G22</f>
        <v>0</v>
      </c>
      <c r="I22" s="180">
        <f t="shared" ref="I22" si="16">H22*12</f>
        <v>0</v>
      </c>
      <c r="J22" s="180">
        <f t="shared" si="9"/>
        <v>0</v>
      </c>
      <c r="K22" s="274" t="str">
        <f t="shared" ref="K22" si="17">IF(G22=0,"-",G22+J22)</f>
        <v>-</v>
      </c>
      <c r="L22" s="274" t="s">
        <v>180</v>
      </c>
      <c r="M22" s="275">
        <f t="shared" ref="M22" si="18">F22*C22</f>
        <v>0</v>
      </c>
      <c r="N22" s="184"/>
      <c r="O22" s="276">
        <f t="shared" si="13"/>
        <v>3</v>
      </c>
    </row>
    <row r="23" spans="1:20" s="184" customFormat="1" ht="13" customHeight="1" outlineLevel="1">
      <c r="B23" s="184" t="s">
        <v>10</v>
      </c>
      <c r="C23" s="284">
        <f>SUM(C16:C22)</f>
        <v>0</v>
      </c>
      <c r="D23" s="284"/>
      <c r="E23" s="284"/>
      <c r="F23" s="284"/>
      <c r="G23" s="221"/>
      <c r="H23" s="220">
        <f>SUM(H16:H22)</f>
        <v>0</v>
      </c>
      <c r="I23" s="220">
        <f>SUM(I16:I22)</f>
        <v>0</v>
      </c>
      <c r="J23" s="220"/>
      <c r="K23" s="285"/>
      <c r="L23" s="285"/>
      <c r="M23" s="286">
        <f>SUM(M16:M22)</f>
        <v>0</v>
      </c>
      <c r="P23" s="76"/>
      <c r="Q23" s="76"/>
      <c r="R23" s="76"/>
      <c r="S23" s="76"/>
      <c r="T23" s="76"/>
    </row>
    <row r="24" spans="1:20" s="184" customFormat="1" ht="13" customHeight="1">
      <c r="C24" s="212"/>
      <c r="D24" s="212"/>
      <c r="E24" s="212"/>
      <c r="F24" s="212"/>
      <c r="K24" s="287"/>
      <c r="L24" s="287"/>
      <c r="P24" s="76"/>
      <c r="Q24" s="76"/>
      <c r="R24" s="76"/>
      <c r="S24" s="76"/>
      <c r="T24" s="76"/>
    </row>
    <row r="25" spans="1:20" s="184" customFormat="1" ht="13" customHeight="1" outlineLevel="1">
      <c r="A25" s="517" t="s">
        <v>118</v>
      </c>
      <c r="B25" s="517"/>
      <c r="C25" s="212" t="s">
        <v>9</v>
      </c>
      <c r="D25" s="269" t="s">
        <v>325</v>
      </c>
      <c r="E25" s="212" t="s">
        <v>6</v>
      </c>
      <c r="F25" s="212" t="s">
        <v>7</v>
      </c>
      <c r="G25" s="212" t="s">
        <v>8</v>
      </c>
      <c r="H25" s="269" t="s">
        <v>175</v>
      </c>
      <c r="I25" s="269" t="s">
        <v>176</v>
      </c>
      <c r="J25" s="269" t="s">
        <v>140</v>
      </c>
      <c r="K25" s="269" t="s">
        <v>139</v>
      </c>
      <c r="L25" s="269" t="s">
        <v>288</v>
      </c>
      <c r="M25" s="269" t="s">
        <v>174</v>
      </c>
      <c r="P25" s="76"/>
      <c r="Q25" s="76"/>
      <c r="R25" s="76"/>
      <c r="S25" s="76"/>
      <c r="T25" s="76"/>
    </row>
    <row r="26" spans="1:20" ht="13" customHeight="1" outlineLevel="1">
      <c r="A26" s="184"/>
      <c r="B26" s="283"/>
      <c r="C26" s="270"/>
      <c r="D26" s="271">
        <v>0.3</v>
      </c>
      <c r="E26" s="270"/>
      <c r="F26" s="272"/>
      <c r="G26" s="273"/>
      <c r="H26" s="180">
        <f>C26*G26</f>
        <v>0</v>
      </c>
      <c r="I26" s="180">
        <f>H26*12</f>
        <v>0</v>
      </c>
      <c r="J26" s="180">
        <f t="shared" ref="J26:J32" si="19">UA2B</f>
        <v>0</v>
      </c>
      <c r="K26" s="274" t="str">
        <f t="shared" ref="K26:K32" si="20">IF(G26=0,"-",G26+J26)</f>
        <v>-</v>
      </c>
      <c r="L26" s="274">
        <f>D93</f>
        <v>560</v>
      </c>
      <c r="M26" s="275">
        <f>F26*C26</f>
        <v>0</v>
      </c>
      <c r="N26" s="184"/>
      <c r="O26" s="276">
        <f>IF(AND(ISBLANK(G26),C26&gt;0),1,3)</f>
        <v>3</v>
      </c>
    </row>
    <row r="27" spans="1:20" ht="13" customHeight="1" outlineLevel="1">
      <c r="A27" s="184"/>
      <c r="B27" s="283"/>
      <c r="C27" s="270"/>
      <c r="D27" s="271">
        <v>0.4</v>
      </c>
      <c r="E27" s="270"/>
      <c r="F27" s="272"/>
      <c r="G27" s="273"/>
      <c r="H27" s="180">
        <f>C27*G27</f>
        <v>0</v>
      </c>
      <c r="I27" s="180">
        <f>H27*12</f>
        <v>0</v>
      </c>
      <c r="J27" s="180">
        <f t="shared" si="19"/>
        <v>0</v>
      </c>
      <c r="K27" s="274" t="str">
        <f t="shared" si="20"/>
        <v>-</v>
      </c>
      <c r="L27" s="274">
        <f>E93</f>
        <v>747</v>
      </c>
      <c r="M27" s="275">
        <f>F27*C27</f>
        <v>0</v>
      </c>
      <c r="N27" s="184"/>
      <c r="O27" s="276">
        <f>IF(AND(ISBLANK(G27),C27&gt;0),1,3)</f>
        <v>3</v>
      </c>
    </row>
    <row r="28" spans="1:20" ht="13" customHeight="1" outlineLevel="1">
      <c r="A28" s="184"/>
      <c r="B28" s="283"/>
      <c r="C28" s="270"/>
      <c r="D28" s="271">
        <v>0.5</v>
      </c>
      <c r="E28" s="270"/>
      <c r="F28" s="272"/>
      <c r="G28" s="273"/>
      <c r="H28" s="180">
        <f>C28*G28</f>
        <v>0</v>
      </c>
      <c r="I28" s="180">
        <f>H28*12</f>
        <v>0</v>
      </c>
      <c r="J28" s="180">
        <f t="shared" si="19"/>
        <v>0</v>
      </c>
      <c r="K28" s="274" t="str">
        <f t="shared" si="20"/>
        <v>-</v>
      </c>
      <c r="L28" s="274">
        <f>F93</f>
        <v>933</v>
      </c>
      <c r="M28" s="275">
        <f>F28*C28</f>
        <v>0</v>
      </c>
      <c r="N28" s="184"/>
      <c r="O28" s="276">
        <f t="shared" ref="O28:O32" si="21">IF(AND(ISBLANK(G28),C28&gt;0),1,3)</f>
        <v>3</v>
      </c>
    </row>
    <row r="29" spans="1:20" ht="13" customHeight="1" outlineLevel="1">
      <c r="A29" s="184"/>
      <c r="B29" s="283"/>
      <c r="C29" s="270"/>
      <c r="D29" s="271">
        <v>0.6</v>
      </c>
      <c r="E29" s="270"/>
      <c r="F29" s="272"/>
      <c r="G29" s="273"/>
      <c r="H29" s="180">
        <f>C29*G29</f>
        <v>0</v>
      </c>
      <c r="I29" s="180">
        <f>H29*12</f>
        <v>0</v>
      </c>
      <c r="J29" s="180">
        <f t="shared" si="19"/>
        <v>0</v>
      </c>
      <c r="K29" s="274" t="str">
        <f t="shared" si="20"/>
        <v>-</v>
      </c>
      <c r="L29" s="274">
        <f>G93</f>
        <v>1120</v>
      </c>
      <c r="M29" s="275">
        <f>F29*C29</f>
        <v>0</v>
      </c>
      <c r="N29" s="184"/>
      <c r="O29" s="276">
        <f t="shared" si="21"/>
        <v>3</v>
      </c>
    </row>
    <row r="30" spans="1:20" ht="13" customHeight="1" outlineLevel="1">
      <c r="A30" s="184"/>
      <c r="B30" s="283"/>
      <c r="C30" s="270"/>
      <c r="D30" s="271">
        <v>0.7</v>
      </c>
      <c r="E30" s="270"/>
      <c r="F30" s="272"/>
      <c r="G30" s="273"/>
      <c r="H30" s="180">
        <f t="shared" ref="H30" si="22">C30*G30</f>
        <v>0</v>
      </c>
      <c r="I30" s="180">
        <f t="shared" ref="I30" si="23">H30*12</f>
        <v>0</v>
      </c>
      <c r="J30" s="180">
        <f t="shared" si="19"/>
        <v>0</v>
      </c>
      <c r="K30" s="274" t="str">
        <f t="shared" si="20"/>
        <v>-</v>
      </c>
      <c r="L30" s="274">
        <f>H93</f>
        <v>1307</v>
      </c>
      <c r="M30" s="275">
        <f t="shared" ref="M30" si="24">F30*C30</f>
        <v>0</v>
      </c>
      <c r="N30" s="184"/>
      <c r="O30" s="276">
        <f t="shared" si="21"/>
        <v>3</v>
      </c>
    </row>
    <row r="31" spans="1:20" ht="13" customHeight="1" outlineLevel="1">
      <c r="A31" s="184"/>
      <c r="B31" s="283"/>
      <c r="C31" s="270"/>
      <c r="D31" s="271">
        <v>0.8</v>
      </c>
      <c r="E31" s="270"/>
      <c r="F31" s="272"/>
      <c r="G31" s="273"/>
      <c r="H31" s="180">
        <f t="shared" ref="H31" si="25">C31*G31</f>
        <v>0</v>
      </c>
      <c r="I31" s="180">
        <f t="shared" ref="I31" si="26">H31*12</f>
        <v>0</v>
      </c>
      <c r="J31" s="180">
        <f t="shared" si="19"/>
        <v>0</v>
      </c>
      <c r="K31" s="274" t="str">
        <f t="shared" ref="K31" si="27">IF(G31=0,"-",G31+J31)</f>
        <v>-</v>
      </c>
      <c r="L31" s="274">
        <f>I93</f>
        <v>1494</v>
      </c>
      <c r="M31" s="275">
        <f t="shared" ref="M31" si="28">F31*C31</f>
        <v>0</v>
      </c>
      <c r="N31" s="184"/>
      <c r="O31" s="276">
        <f t="shared" si="21"/>
        <v>3</v>
      </c>
    </row>
    <row r="32" spans="1:20" ht="13" customHeight="1" outlineLevel="1">
      <c r="A32" s="184"/>
      <c r="B32" s="283"/>
      <c r="C32" s="270"/>
      <c r="D32" s="208" t="s">
        <v>304</v>
      </c>
      <c r="E32" s="277"/>
      <c r="F32" s="278"/>
      <c r="G32" s="279"/>
      <c r="H32" s="280">
        <f>C32*G32</f>
        <v>0</v>
      </c>
      <c r="I32" s="280">
        <f>H32*12</f>
        <v>0</v>
      </c>
      <c r="J32" s="280">
        <f t="shared" si="19"/>
        <v>0</v>
      </c>
      <c r="K32" s="281" t="str">
        <f t="shared" si="20"/>
        <v>-</v>
      </c>
      <c r="L32" s="281" t="s">
        <v>180</v>
      </c>
      <c r="M32" s="282">
        <f>F32*C32</f>
        <v>0</v>
      </c>
      <c r="N32" s="184"/>
      <c r="O32" s="276">
        <f t="shared" si="21"/>
        <v>3</v>
      </c>
    </row>
    <row r="33" spans="1:15" ht="13" customHeight="1" outlineLevel="1">
      <c r="A33" s="184"/>
      <c r="B33" s="184" t="s">
        <v>10</v>
      </c>
      <c r="C33" s="284">
        <f>SUM(C26:C32)</f>
        <v>0</v>
      </c>
      <c r="D33" s="212"/>
      <c r="E33" s="212"/>
      <c r="F33" s="212"/>
      <c r="G33" s="184"/>
      <c r="H33" s="241">
        <f>SUM(H26:H32)</f>
        <v>0</v>
      </c>
      <c r="I33" s="241">
        <f>SUM(I26:I32)</f>
        <v>0</v>
      </c>
      <c r="J33" s="241"/>
      <c r="K33" s="216"/>
      <c r="L33" s="216"/>
      <c r="M33" s="275">
        <f>SUM(M26:M32)</f>
        <v>0</v>
      </c>
      <c r="N33" s="184"/>
      <c r="O33" s="184"/>
    </row>
    <row r="34" spans="1:15" ht="13" customHeight="1">
      <c r="A34" s="184"/>
      <c r="B34" s="184"/>
      <c r="C34" s="212"/>
      <c r="D34" s="212"/>
      <c r="E34" s="212"/>
      <c r="F34" s="212"/>
      <c r="G34" s="184"/>
      <c r="H34" s="184"/>
      <c r="I34" s="184"/>
      <c r="J34" s="184"/>
      <c r="K34" s="184"/>
      <c r="L34" s="184"/>
      <c r="M34" s="184"/>
      <c r="N34" s="184"/>
      <c r="O34" s="184"/>
    </row>
    <row r="35" spans="1:15" ht="13" customHeight="1" outlineLevel="1">
      <c r="A35" s="517" t="s">
        <v>114</v>
      </c>
      <c r="B35" s="517"/>
      <c r="C35" s="212" t="s">
        <v>9</v>
      </c>
      <c r="D35" s="269" t="s">
        <v>325</v>
      </c>
      <c r="E35" s="212" t="s">
        <v>6</v>
      </c>
      <c r="F35" s="212" t="s">
        <v>7</v>
      </c>
      <c r="G35" s="212" t="s">
        <v>8</v>
      </c>
      <c r="H35" s="269" t="s">
        <v>175</v>
      </c>
      <c r="I35" s="269" t="s">
        <v>176</v>
      </c>
      <c r="J35" s="269" t="s">
        <v>140</v>
      </c>
      <c r="K35" s="269" t="s">
        <v>139</v>
      </c>
      <c r="L35" s="269" t="s">
        <v>288</v>
      </c>
      <c r="M35" s="269" t="s">
        <v>174</v>
      </c>
      <c r="N35" s="184"/>
      <c r="O35" s="184"/>
    </row>
    <row r="36" spans="1:15" ht="13" customHeight="1" outlineLevel="1">
      <c r="A36" s="184"/>
      <c r="B36" s="283"/>
      <c r="C36" s="270"/>
      <c r="D36" s="271">
        <v>0.3</v>
      </c>
      <c r="E36" s="270"/>
      <c r="F36" s="272"/>
      <c r="G36" s="273"/>
      <c r="H36" s="180">
        <f>C36*G36</f>
        <v>0</v>
      </c>
      <c r="I36" s="180">
        <f>H36*12</f>
        <v>0</v>
      </c>
      <c r="J36" s="180">
        <f t="shared" ref="J36:J42" si="29">UA3B</f>
        <v>0</v>
      </c>
      <c r="K36" s="274" t="str">
        <f t="shared" ref="K36:K42" si="30">IF(G36=0,"-",G36+J36)</f>
        <v>-</v>
      </c>
      <c r="L36" s="274">
        <f>D94</f>
        <v>646</v>
      </c>
      <c r="M36" s="275">
        <f>F36*C36</f>
        <v>0</v>
      </c>
      <c r="N36" s="184"/>
      <c r="O36" s="276">
        <f>IF(AND(ISBLANK(G36),C36&gt;0),1,3)</f>
        <v>3</v>
      </c>
    </row>
    <row r="37" spans="1:15" ht="13" customHeight="1" outlineLevel="1">
      <c r="A37" s="184"/>
      <c r="B37" s="283"/>
      <c r="C37" s="270"/>
      <c r="D37" s="271">
        <v>0.4</v>
      </c>
      <c r="E37" s="270"/>
      <c r="F37" s="272"/>
      <c r="G37" s="273"/>
      <c r="H37" s="180">
        <f>C37*G37</f>
        <v>0</v>
      </c>
      <c r="I37" s="180">
        <f>H37*12</f>
        <v>0</v>
      </c>
      <c r="J37" s="180">
        <f t="shared" si="29"/>
        <v>0</v>
      </c>
      <c r="K37" s="274" t="str">
        <f t="shared" si="30"/>
        <v>-</v>
      </c>
      <c r="L37" s="274">
        <f>E94</f>
        <v>862</v>
      </c>
      <c r="M37" s="275">
        <f>F37*C37</f>
        <v>0</v>
      </c>
      <c r="N37" s="184"/>
      <c r="O37" s="276">
        <f>IF(AND(ISBLANK(G37),C37&gt;0),1,3)</f>
        <v>3</v>
      </c>
    </row>
    <row r="38" spans="1:15" ht="13" customHeight="1" outlineLevel="1">
      <c r="A38" s="184"/>
      <c r="B38" s="283"/>
      <c r="C38" s="270"/>
      <c r="D38" s="271">
        <v>0.5</v>
      </c>
      <c r="E38" s="270"/>
      <c r="F38" s="272"/>
      <c r="G38" s="273"/>
      <c r="H38" s="180">
        <f>C38*G38</f>
        <v>0</v>
      </c>
      <c r="I38" s="180">
        <f>H38*12</f>
        <v>0</v>
      </c>
      <c r="J38" s="180">
        <f t="shared" si="29"/>
        <v>0</v>
      </c>
      <c r="K38" s="274" t="str">
        <f t="shared" si="30"/>
        <v>-</v>
      </c>
      <c r="L38" s="274">
        <f>F94</f>
        <v>1078</v>
      </c>
      <c r="M38" s="275">
        <f>F38*C38</f>
        <v>0</v>
      </c>
      <c r="N38" s="184"/>
      <c r="O38" s="276">
        <f t="shared" ref="O38:O42" si="31">IF(AND(ISBLANK(G38),C38&gt;0),1,3)</f>
        <v>3</v>
      </c>
    </row>
    <row r="39" spans="1:15" ht="13" customHeight="1" outlineLevel="1">
      <c r="A39" s="184"/>
      <c r="B39" s="283"/>
      <c r="C39" s="270"/>
      <c r="D39" s="271">
        <v>0.6</v>
      </c>
      <c r="E39" s="270"/>
      <c r="F39" s="272"/>
      <c r="G39" s="273"/>
      <c r="H39" s="180">
        <f>C39*G39</f>
        <v>0</v>
      </c>
      <c r="I39" s="180">
        <f>H39*12</f>
        <v>0</v>
      </c>
      <c r="J39" s="180">
        <f t="shared" si="29"/>
        <v>0</v>
      </c>
      <c r="K39" s="274" t="str">
        <f t="shared" si="30"/>
        <v>-</v>
      </c>
      <c r="L39" s="274">
        <f>G94</f>
        <v>1293</v>
      </c>
      <c r="M39" s="275">
        <f>F39*C39</f>
        <v>0</v>
      </c>
      <c r="N39" s="184"/>
      <c r="O39" s="276">
        <f t="shared" si="31"/>
        <v>3</v>
      </c>
    </row>
    <row r="40" spans="1:15" ht="13" customHeight="1" outlineLevel="1">
      <c r="A40" s="184"/>
      <c r="B40" s="283"/>
      <c r="C40" s="270"/>
      <c r="D40" s="271">
        <v>0.7</v>
      </c>
      <c r="E40" s="270"/>
      <c r="F40" s="272"/>
      <c r="G40" s="273"/>
      <c r="H40" s="180">
        <f t="shared" ref="H40:H41" si="32">C40*G40</f>
        <v>0</v>
      </c>
      <c r="I40" s="180">
        <f t="shared" ref="I40:I41" si="33">H40*12</f>
        <v>0</v>
      </c>
      <c r="J40" s="180">
        <f t="shared" si="29"/>
        <v>0</v>
      </c>
      <c r="K40" s="274" t="str">
        <f t="shared" ref="K40:K41" si="34">IF(G40=0,"-",G40+J40)</f>
        <v>-</v>
      </c>
      <c r="L40" s="274">
        <f>H94</f>
        <v>1509</v>
      </c>
      <c r="M40" s="275">
        <f t="shared" ref="M40:M41" si="35">F40*C40</f>
        <v>0</v>
      </c>
      <c r="N40" s="184"/>
      <c r="O40" s="276">
        <f t="shared" si="31"/>
        <v>3</v>
      </c>
    </row>
    <row r="41" spans="1:15" ht="13" customHeight="1" outlineLevel="1">
      <c r="A41" s="184"/>
      <c r="B41" s="283"/>
      <c r="C41" s="270"/>
      <c r="D41" s="271">
        <v>0.8</v>
      </c>
      <c r="E41" s="270"/>
      <c r="F41" s="272"/>
      <c r="G41" s="273"/>
      <c r="H41" s="180">
        <f t="shared" si="32"/>
        <v>0</v>
      </c>
      <c r="I41" s="180">
        <f t="shared" si="33"/>
        <v>0</v>
      </c>
      <c r="J41" s="180">
        <f t="shared" si="29"/>
        <v>0</v>
      </c>
      <c r="K41" s="274" t="str">
        <f t="shared" si="34"/>
        <v>-</v>
      </c>
      <c r="L41" s="274">
        <f>I94</f>
        <v>1725</v>
      </c>
      <c r="M41" s="275">
        <f t="shared" si="35"/>
        <v>0</v>
      </c>
      <c r="N41" s="184"/>
      <c r="O41" s="276">
        <f t="shared" si="31"/>
        <v>3</v>
      </c>
    </row>
    <row r="42" spans="1:15" ht="13" customHeight="1" outlineLevel="1">
      <c r="A42" s="184"/>
      <c r="B42" s="283"/>
      <c r="C42" s="270"/>
      <c r="D42" s="208" t="s">
        <v>304</v>
      </c>
      <c r="E42" s="277"/>
      <c r="F42" s="277"/>
      <c r="G42" s="279"/>
      <c r="H42" s="280">
        <f>C42*G42</f>
        <v>0</v>
      </c>
      <c r="I42" s="280">
        <f>H42*12</f>
        <v>0</v>
      </c>
      <c r="J42" s="280">
        <f t="shared" si="29"/>
        <v>0</v>
      </c>
      <c r="K42" s="281" t="str">
        <f t="shared" si="30"/>
        <v>-</v>
      </c>
      <c r="L42" s="281" t="s">
        <v>180</v>
      </c>
      <c r="M42" s="282">
        <f>F42*C42</f>
        <v>0</v>
      </c>
      <c r="N42" s="184"/>
      <c r="O42" s="276">
        <f t="shared" si="31"/>
        <v>3</v>
      </c>
    </row>
    <row r="43" spans="1:15" ht="13" customHeight="1" outlineLevel="1">
      <c r="A43" s="184"/>
      <c r="B43" s="184" t="s">
        <v>10</v>
      </c>
      <c r="C43" s="284">
        <f>SUM(C36:C42)</f>
        <v>0</v>
      </c>
      <c r="D43" s="212"/>
      <c r="E43" s="212"/>
      <c r="F43" s="212"/>
      <c r="G43" s="184"/>
      <c r="H43" s="241">
        <f>SUM(H36:H42)</f>
        <v>0</v>
      </c>
      <c r="I43" s="241">
        <f>SUM(I36:I42)</f>
        <v>0</v>
      </c>
      <c r="J43" s="241"/>
      <c r="K43" s="184"/>
      <c r="L43" s="184"/>
      <c r="M43" s="275">
        <f>SUM(M36:M42)</f>
        <v>0</v>
      </c>
      <c r="N43" s="184"/>
      <c r="O43" s="184"/>
    </row>
    <row r="44" spans="1:15" ht="13" customHeight="1">
      <c r="A44" s="184"/>
      <c r="B44" s="184"/>
      <c r="C44" s="212"/>
      <c r="D44" s="212"/>
      <c r="E44" s="212"/>
      <c r="F44" s="212"/>
      <c r="G44" s="184"/>
      <c r="H44" s="184"/>
      <c r="I44" s="184"/>
      <c r="J44" s="184"/>
      <c r="K44" s="184"/>
      <c r="L44" s="184"/>
      <c r="M44" s="184"/>
      <c r="N44" s="184"/>
      <c r="O44" s="184"/>
    </row>
    <row r="45" spans="1:15" ht="13" customHeight="1" outlineLevel="1">
      <c r="A45" s="517" t="s">
        <v>117</v>
      </c>
      <c r="B45" s="517"/>
      <c r="C45" s="212" t="s">
        <v>9</v>
      </c>
      <c r="D45" s="269" t="s">
        <v>325</v>
      </c>
      <c r="E45" s="212" t="s">
        <v>6</v>
      </c>
      <c r="F45" s="212" t="s">
        <v>7</v>
      </c>
      <c r="G45" s="212" t="s">
        <v>8</v>
      </c>
      <c r="H45" s="269" t="s">
        <v>175</v>
      </c>
      <c r="I45" s="269" t="s">
        <v>176</v>
      </c>
      <c r="J45" s="269" t="s">
        <v>140</v>
      </c>
      <c r="K45" s="269" t="s">
        <v>139</v>
      </c>
      <c r="L45" s="269" t="s">
        <v>288</v>
      </c>
      <c r="M45" s="269" t="s">
        <v>174</v>
      </c>
      <c r="N45" s="184"/>
      <c r="O45" s="184"/>
    </row>
    <row r="46" spans="1:15" ht="13" customHeight="1" outlineLevel="1">
      <c r="A46" s="184"/>
      <c r="B46" s="184"/>
      <c r="C46" s="270"/>
      <c r="D46" s="271">
        <v>0.3</v>
      </c>
      <c r="E46" s="270"/>
      <c r="F46" s="272"/>
      <c r="G46" s="273"/>
      <c r="H46" s="180">
        <f>C46*G46</f>
        <v>0</v>
      </c>
      <c r="I46" s="180">
        <f>H46*12</f>
        <v>0</v>
      </c>
      <c r="J46" s="180">
        <f t="shared" ref="J46:J52" si="36">UA4B</f>
        <v>0</v>
      </c>
      <c r="K46" s="274" t="str">
        <f t="shared" ref="K46:K52" si="37">IF(G46=0,"-",G46+J46)</f>
        <v>-</v>
      </c>
      <c r="L46" s="274">
        <f>D95</f>
        <v>721</v>
      </c>
      <c r="M46" s="275">
        <f>F46*C46</f>
        <v>0</v>
      </c>
      <c r="N46" s="184"/>
      <c r="O46" s="276">
        <f>IF(AND(ISBLANK(G46),C46&gt;0),1,3)</f>
        <v>3</v>
      </c>
    </row>
    <row r="47" spans="1:15" ht="13" customHeight="1" outlineLevel="1">
      <c r="A47" s="184"/>
      <c r="B47" s="184"/>
      <c r="C47" s="270"/>
      <c r="D47" s="271">
        <v>0.4</v>
      </c>
      <c r="E47" s="270"/>
      <c r="F47" s="272"/>
      <c r="G47" s="273"/>
      <c r="H47" s="180">
        <f>C47*G47</f>
        <v>0</v>
      </c>
      <c r="I47" s="180">
        <f>H47*12</f>
        <v>0</v>
      </c>
      <c r="J47" s="180">
        <f t="shared" si="36"/>
        <v>0</v>
      </c>
      <c r="K47" s="274" t="str">
        <f t="shared" si="37"/>
        <v>-</v>
      </c>
      <c r="L47" s="274">
        <f>E94</f>
        <v>862</v>
      </c>
      <c r="M47" s="275">
        <f>F47*C47</f>
        <v>0</v>
      </c>
      <c r="N47" s="184"/>
      <c r="O47" s="276">
        <f>IF(AND(ISBLANK(G47),C47&gt;0),1,3)</f>
        <v>3</v>
      </c>
    </row>
    <row r="48" spans="1:15" ht="13" customHeight="1" outlineLevel="1">
      <c r="A48" s="184"/>
      <c r="B48" s="184"/>
      <c r="C48" s="270"/>
      <c r="D48" s="271">
        <v>0.5</v>
      </c>
      <c r="E48" s="270"/>
      <c r="F48" s="272"/>
      <c r="G48" s="273"/>
      <c r="H48" s="180">
        <f>C48*G48</f>
        <v>0</v>
      </c>
      <c r="I48" s="180">
        <f>H48*12</f>
        <v>0</v>
      </c>
      <c r="J48" s="180">
        <f t="shared" si="36"/>
        <v>0</v>
      </c>
      <c r="K48" s="274" t="str">
        <f t="shared" si="37"/>
        <v>-</v>
      </c>
      <c r="L48" s="274">
        <f>F95</f>
        <v>1202</v>
      </c>
      <c r="M48" s="275">
        <f>F48*C48</f>
        <v>0</v>
      </c>
      <c r="N48" s="184"/>
      <c r="O48" s="276">
        <f t="shared" ref="O48:O52" si="38">IF(AND(ISBLANK(G48),C48&gt;0),1,3)</f>
        <v>3</v>
      </c>
    </row>
    <row r="49" spans="1:15" ht="13" customHeight="1" outlineLevel="1">
      <c r="A49" s="184"/>
      <c r="B49" s="184"/>
      <c r="C49" s="270"/>
      <c r="D49" s="271">
        <v>0.6</v>
      </c>
      <c r="E49" s="270"/>
      <c r="F49" s="272"/>
      <c r="G49" s="273"/>
      <c r="H49" s="180">
        <f>C49*G49</f>
        <v>0</v>
      </c>
      <c r="I49" s="180">
        <f>H49*12</f>
        <v>0</v>
      </c>
      <c r="J49" s="180">
        <f t="shared" si="36"/>
        <v>0</v>
      </c>
      <c r="K49" s="274" t="str">
        <f t="shared" si="37"/>
        <v>-</v>
      </c>
      <c r="L49" s="274">
        <f>G95</f>
        <v>1443</v>
      </c>
      <c r="M49" s="275">
        <f>F49*C49</f>
        <v>0</v>
      </c>
      <c r="N49" s="184"/>
      <c r="O49" s="276">
        <f t="shared" si="38"/>
        <v>3</v>
      </c>
    </row>
    <row r="50" spans="1:15" ht="13" customHeight="1" outlineLevel="1">
      <c r="A50" s="184"/>
      <c r="B50" s="184"/>
      <c r="C50" s="270"/>
      <c r="D50" s="271">
        <v>0.7</v>
      </c>
      <c r="E50" s="270"/>
      <c r="F50" s="272"/>
      <c r="G50" s="273"/>
      <c r="H50" s="180">
        <f t="shared" ref="H50:H51" si="39">C50*G50</f>
        <v>0</v>
      </c>
      <c r="I50" s="180">
        <f t="shared" ref="I50:I51" si="40">H50*12</f>
        <v>0</v>
      </c>
      <c r="J50" s="180">
        <f t="shared" si="36"/>
        <v>0</v>
      </c>
      <c r="K50" s="274" t="str">
        <f t="shared" ref="K50:K51" si="41">IF(G50=0,"-",G50+J50)</f>
        <v>-</v>
      </c>
      <c r="L50" s="274">
        <f>H95</f>
        <v>1683</v>
      </c>
      <c r="M50" s="275">
        <f t="shared" ref="M50:M51" si="42">F50*C50</f>
        <v>0</v>
      </c>
      <c r="N50" s="184"/>
      <c r="O50" s="276">
        <f t="shared" si="38"/>
        <v>3</v>
      </c>
    </row>
    <row r="51" spans="1:15" ht="13" customHeight="1" outlineLevel="1">
      <c r="A51" s="184"/>
      <c r="B51" s="184"/>
      <c r="C51" s="270"/>
      <c r="D51" s="271">
        <v>0.8</v>
      </c>
      <c r="E51" s="270"/>
      <c r="F51" s="272"/>
      <c r="G51" s="273"/>
      <c r="H51" s="180">
        <f t="shared" si="39"/>
        <v>0</v>
      </c>
      <c r="I51" s="180">
        <f t="shared" si="40"/>
        <v>0</v>
      </c>
      <c r="J51" s="180">
        <f t="shared" si="36"/>
        <v>0</v>
      </c>
      <c r="K51" s="274" t="str">
        <f t="shared" si="41"/>
        <v>-</v>
      </c>
      <c r="L51" s="274">
        <f>I95</f>
        <v>1924</v>
      </c>
      <c r="M51" s="275">
        <f t="shared" si="42"/>
        <v>0</v>
      </c>
      <c r="N51" s="184"/>
      <c r="O51" s="276">
        <f t="shared" si="38"/>
        <v>3</v>
      </c>
    </row>
    <row r="52" spans="1:15" ht="13" customHeight="1" outlineLevel="1">
      <c r="A52" s="184"/>
      <c r="B52" s="184"/>
      <c r="C52" s="277"/>
      <c r="D52" s="208" t="s">
        <v>304</v>
      </c>
      <c r="E52" s="277"/>
      <c r="F52" s="278"/>
      <c r="G52" s="279"/>
      <c r="H52" s="280">
        <f>C52*G52</f>
        <v>0</v>
      </c>
      <c r="I52" s="280">
        <f>H52*12</f>
        <v>0</v>
      </c>
      <c r="J52" s="280">
        <f t="shared" si="36"/>
        <v>0</v>
      </c>
      <c r="K52" s="281" t="str">
        <f t="shared" si="37"/>
        <v>-</v>
      </c>
      <c r="L52" s="281" t="s">
        <v>180</v>
      </c>
      <c r="M52" s="282">
        <f>F52*C52</f>
        <v>0</v>
      </c>
      <c r="N52" s="184"/>
      <c r="O52" s="276">
        <f t="shared" si="38"/>
        <v>3</v>
      </c>
    </row>
    <row r="53" spans="1:15" ht="13" customHeight="1" outlineLevel="1">
      <c r="A53" s="184"/>
      <c r="B53" s="184" t="s">
        <v>10</v>
      </c>
      <c r="C53" s="212">
        <f>SUM(C46:C52)</f>
        <v>0</v>
      </c>
      <c r="D53" s="212"/>
      <c r="E53" s="212"/>
      <c r="F53" s="212"/>
      <c r="G53" s="184"/>
      <c r="H53" s="241">
        <f>SUM(H46:H52)</f>
        <v>0</v>
      </c>
      <c r="I53" s="241">
        <f>SUM(I46:I52)</f>
        <v>0</v>
      </c>
      <c r="J53" s="241"/>
      <c r="K53" s="184"/>
      <c r="L53" s="184"/>
      <c r="M53" s="275">
        <f>SUM(M46:M52)</f>
        <v>0</v>
      </c>
      <c r="N53" s="184"/>
      <c r="O53" s="184"/>
    </row>
    <row r="54" spans="1:15" ht="13" customHeight="1">
      <c r="A54" s="184"/>
      <c r="B54" s="184"/>
      <c r="C54" s="212"/>
      <c r="D54" s="212"/>
      <c r="E54" s="212"/>
      <c r="F54" s="212"/>
      <c r="G54" s="184"/>
      <c r="H54" s="184"/>
      <c r="I54" s="184"/>
      <c r="J54" s="184"/>
      <c r="K54" s="184"/>
      <c r="L54" s="184"/>
      <c r="M54" s="184"/>
      <c r="N54" s="184"/>
      <c r="O54" s="184"/>
    </row>
    <row r="55" spans="1:15" ht="13" customHeight="1">
      <c r="A55" s="184"/>
      <c r="B55" s="288" t="s">
        <v>11</v>
      </c>
      <c r="C55" s="289" t="s">
        <v>13</v>
      </c>
      <c r="D55" s="284"/>
      <c r="E55" s="284"/>
      <c r="F55" s="284"/>
      <c r="G55" s="221"/>
      <c r="H55" s="290" t="s">
        <v>175</v>
      </c>
      <c r="I55" s="290" t="s">
        <v>176</v>
      </c>
      <c r="J55" s="290"/>
      <c r="K55" s="221"/>
      <c r="L55" s="221"/>
      <c r="M55" s="290" t="s">
        <v>177</v>
      </c>
      <c r="N55" s="291"/>
      <c r="O55" s="184"/>
    </row>
    <row r="56" spans="1:15" ht="13" customHeight="1">
      <c r="A56" s="184"/>
      <c r="B56" s="292"/>
      <c r="C56" s="218">
        <f>C13+C23+C33+C43+C53</f>
        <v>0</v>
      </c>
      <c r="D56" s="218"/>
      <c r="E56" s="218"/>
      <c r="F56" s="218"/>
      <c r="G56" s="293" t="s">
        <v>20</v>
      </c>
      <c r="H56" s="294">
        <f>H13+H23+H33+H43+H53</f>
        <v>0</v>
      </c>
      <c r="I56" s="294">
        <f>I13+I23+I33+I43+I53</f>
        <v>0</v>
      </c>
      <c r="J56" s="294"/>
      <c r="K56" s="217"/>
      <c r="L56" s="217"/>
      <c r="M56" s="275">
        <f>M13+M23+M33+M43+M53</f>
        <v>0</v>
      </c>
      <c r="N56" s="295"/>
      <c r="O56" s="184"/>
    </row>
    <row r="57" spans="1:15" ht="13" customHeight="1">
      <c r="A57" s="184"/>
      <c r="B57" s="296"/>
      <c r="C57" s="208"/>
      <c r="D57" s="208"/>
      <c r="E57" s="208"/>
      <c r="F57" s="208"/>
      <c r="G57" s="297" t="s">
        <v>12</v>
      </c>
      <c r="H57" s="298" t="e">
        <f>H56/Units</f>
        <v>#DIV/0!</v>
      </c>
      <c r="I57" s="298" t="e">
        <f>I56/Units</f>
        <v>#DIV/0!</v>
      </c>
      <c r="J57" s="298"/>
      <c r="K57" s="207"/>
      <c r="L57" s="207"/>
      <c r="M57" s="207"/>
      <c r="N57" s="299"/>
      <c r="O57" s="184"/>
    </row>
    <row r="58" spans="1:15" ht="13" customHeight="1">
      <c r="A58" s="184"/>
      <c r="B58" s="184"/>
      <c r="C58" s="212"/>
      <c r="D58" s="212"/>
      <c r="E58" s="212"/>
      <c r="F58" s="212"/>
      <c r="G58" s="211"/>
      <c r="H58" s="210"/>
      <c r="I58" s="210"/>
      <c r="J58" s="210"/>
      <c r="K58" s="184"/>
      <c r="L58" s="184"/>
      <c r="M58" s="184"/>
      <c r="N58" s="184"/>
      <c r="O58" s="184"/>
    </row>
    <row r="59" spans="1:15" ht="13" customHeight="1">
      <c r="A59" s="184"/>
      <c r="B59" s="78" t="s">
        <v>14</v>
      </c>
      <c r="D59" s="76"/>
      <c r="E59" s="76"/>
      <c r="F59" s="76"/>
      <c r="H59" s="85" t="s">
        <v>18</v>
      </c>
      <c r="I59" s="85" t="s">
        <v>19</v>
      </c>
      <c r="J59" s="85"/>
      <c r="K59" s="184"/>
      <c r="L59" s="300" t="s">
        <v>101</v>
      </c>
      <c r="M59" s="141"/>
      <c r="N59" s="184"/>
      <c r="O59" s="184"/>
    </row>
    <row r="60" spans="1:15" ht="13" customHeight="1">
      <c r="A60" s="184"/>
      <c r="B60" s="139" t="s">
        <v>15</v>
      </c>
      <c r="C60" s="301"/>
      <c r="D60" s="301"/>
      <c r="E60" s="301"/>
      <c r="F60" s="301"/>
      <c r="G60" s="140"/>
      <c r="H60" s="302"/>
      <c r="I60" s="303">
        <f>H60*12</f>
        <v>0</v>
      </c>
      <c r="J60" s="180"/>
      <c r="K60" s="184"/>
      <c r="L60" s="304" t="s">
        <v>179</v>
      </c>
      <c r="M60" s="397"/>
      <c r="N60" s="184"/>
      <c r="O60" s="184"/>
    </row>
    <row r="61" spans="1:15" ht="13" customHeight="1">
      <c r="A61" s="184"/>
      <c r="B61" s="143" t="s">
        <v>16</v>
      </c>
      <c r="C61" s="305"/>
      <c r="D61" s="305"/>
      <c r="E61" s="305"/>
      <c r="F61" s="305"/>
      <c r="G61" s="144"/>
      <c r="H61" s="306"/>
      <c r="I61" s="307">
        <f>H61*12</f>
        <v>0</v>
      </c>
      <c r="J61" s="180"/>
      <c r="K61" s="184"/>
      <c r="L61" s="304" t="s">
        <v>119</v>
      </c>
      <c r="M61" s="397"/>
      <c r="N61" s="184"/>
      <c r="O61" s="184"/>
    </row>
    <row r="62" spans="1:15" ht="13" customHeight="1">
      <c r="A62" s="184"/>
      <c r="B62" s="143" t="s">
        <v>17</v>
      </c>
      <c r="C62" s="305"/>
      <c r="D62" s="305"/>
      <c r="E62" s="308"/>
      <c r="F62" s="309"/>
      <c r="G62" s="144"/>
      <c r="H62" s="306"/>
      <c r="I62" s="307">
        <f>H62*12</f>
        <v>0</v>
      </c>
      <c r="J62" s="180"/>
      <c r="K62" s="184"/>
      <c r="L62" s="304" t="s">
        <v>120</v>
      </c>
      <c r="M62" s="397"/>
      <c r="N62" s="184"/>
      <c r="O62" s="184"/>
    </row>
    <row r="63" spans="1:15" ht="13" customHeight="1">
      <c r="A63" s="184"/>
      <c r="B63" s="513" t="s">
        <v>138</v>
      </c>
      <c r="C63" s="514"/>
      <c r="D63" s="514"/>
      <c r="E63" s="514"/>
      <c r="F63" s="514"/>
      <c r="G63" s="514"/>
      <c r="H63" s="306"/>
      <c r="I63" s="307">
        <f>H63*12</f>
        <v>0</v>
      </c>
      <c r="J63" s="180"/>
      <c r="K63" s="184"/>
      <c r="L63" s="304" t="s">
        <v>121</v>
      </c>
      <c r="M63" s="397"/>
      <c r="N63" s="184"/>
      <c r="O63" s="184"/>
    </row>
    <row r="64" spans="1:15" ht="13" customHeight="1">
      <c r="A64" s="184"/>
      <c r="B64" s="515" t="s">
        <v>144</v>
      </c>
      <c r="C64" s="516"/>
      <c r="D64" s="516"/>
      <c r="E64" s="516"/>
      <c r="F64" s="516"/>
      <c r="G64" s="516"/>
      <c r="H64" s="279"/>
      <c r="I64" s="310">
        <f>H64*12</f>
        <v>0</v>
      </c>
      <c r="J64" s="311"/>
      <c r="K64" s="184"/>
      <c r="L64" s="312" t="s">
        <v>122</v>
      </c>
      <c r="M64" s="398"/>
      <c r="N64" s="184"/>
      <c r="O64" s="184"/>
    </row>
    <row r="65" spans="1:39" ht="13" customHeight="1">
      <c r="A65" s="184"/>
      <c r="B65" s="185" t="s">
        <v>11</v>
      </c>
      <c r="C65" s="212"/>
      <c r="D65" s="212"/>
      <c r="E65" s="212"/>
      <c r="F65" s="212"/>
      <c r="G65" s="184"/>
      <c r="H65" s="241">
        <f>SUM(H60:H64)</f>
        <v>0</v>
      </c>
      <c r="I65" s="241">
        <f>SUM(I60:I64)</f>
        <v>0</v>
      </c>
      <c r="J65" s="184"/>
      <c r="K65" s="184"/>
      <c r="L65" s="217"/>
      <c r="M65" s="184"/>
      <c r="N65" s="184"/>
      <c r="O65" s="184"/>
    </row>
    <row r="66" spans="1:39">
      <c r="A66" s="184"/>
      <c r="B66" s="184"/>
      <c r="C66" s="212"/>
      <c r="D66" s="212"/>
      <c r="E66" s="212"/>
      <c r="F66" s="212"/>
      <c r="G66" s="184"/>
      <c r="H66" s="211" t="s">
        <v>156</v>
      </c>
      <c r="I66" s="241" t="e">
        <f>I65/Units</f>
        <v>#DIV/0!</v>
      </c>
      <c r="J66" s="184"/>
      <c r="K66" s="184"/>
      <c r="L66" s="184"/>
      <c r="M66" s="184"/>
      <c r="N66" s="184"/>
      <c r="O66" s="184"/>
    </row>
    <row r="67" spans="1:39">
      <c r="A67" s="184"/>
      <c r="B67" s="184"/>
      <c r="C67" s="212"/>
      <c r="D67" s="212"/>
      <c r="E67" s="212"/>
      <c r="F67" s="212"/>
      <c r="G67" s="184"/>
      <c r="H67" s="211"/>
      <c r="I67" s="241"/>
      <c r="J67" s="184"/>
      <c r="K67" s="184"/>
      <c r="L67" s="184"/>
      <c r="M67" s="184"/>
      <c r="N67" s="184"/>
      <c r="O67" s="184"/>
    </row>
    <row r="68" spans="1:39">
      <c r="A68" s="184"/>
      <c r="B68" s="184"/>
      <c r="C68" s="212"/>
      <c r="D68" s="212"/>
      <c r="E68" s="212"/>
      <c r="F68" s="212"/>
      <c r="G68" s="184"/>
      <c r="H68" s="211"/>
      <c r="I68" s="241"/>
      <c r="J68" s="184"/>
      <c r="K68" s="184"/>
      <c r="L68" s="184"/>
      <c r="M68" s="184"/>
      <c r="N68" s="184"/>
      <c r="O68" s="184"/>
    </row>
    <row r="69" spans="1:39">
      <c r="A69" s="184"/>
      <c r="B69" s="313" t="s">
        <v>375</v>
      </c>
      <c r="C69" s="212"/>
      <c r="D69" s="212"/>
      <c r="E69" s="212"/>
      <c r="F69" s="212"/>
      <c r="G69" s="184"/>
      <c r="H69" s="184"/>
      <c r="I69" s="184"/>
      <c r="J69" s="184"/>
      <c r="K69" s="184"/>
      <c r="L69" s="184"/>
      <c r="M69" s="184"/>
      <c r="N69" s="184"/>
      <c r="O69" s="184"/>
    </row>
    <row r="70" spans="1:39">
      <c r="A70" s="184"/>
      <c r="B70" s="364" t="s">
        <v>289</v>
      </c>
      <c r="C70" s="364"/>
      <c r="D70" s="364"/>
      <c r="E70" s="364"/>
      <c r="F70" s="364"/>
      <c r="G70" s="365" t="s">
        <v>290</v>
      </c>
      <c r="H70" s="364">
        <v>2022</v>
      </c>
      <c r="I70" s="366"/>
      <c r="J70" s="366"/>
      <c r="K70" s="366"/>
      <c r="L70" s="366"/>
      <c r="M70" s="366"/>
      <c r="N70" s="184"/>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row>
    <row r="71" spans="1:39">
      <c r="A71" s="184"/>
      <c r="B71" s="368" t="s">
        <v>161</v>
      </c>
      <c r="C71" s="366"/>
      <c r="D71" s="366"/>
      <c r="E71" s="366"/>
      <c r="F71" s="366"/>
      <c r="G71" s="366"/>
      <c r="H71" s="366"/>
      <c r="I71" s="366"/>
      <c r="J71" s="368" t="s">
        <v>5</v>
      </c>
      <c r="K71" s="366"/>
      <c r="L71" s="366"/>
      <c r="M71" s="366"/>
      <c r="N71" s="184"/>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367"/>
      <c r="AL71" s="367"/>
      <c r="AM71" s="367"/>
    </row>
    <row r="72" spans="1:39">
      <c r="A72" s="184"/>
      <c r="B72" s="366" t="s">
        <v>305</v>
      </c>
      <c r="C72" s="369">
        <v>1</v>
      </c>
      <c r="D72" s="369">
        <v>2</v>
      </c>
      <c r="E72" s="369">
        <v>3</v>
      </c>
      <c r="F72" s="369">
        <v>4</v>
      </c>
      <c r="G72" s="369">
        <v>5</v>
      </c>
      <c r="H72" s="369">
        <v>6</v>
      </c>
      <c r="I72" s="366"/>
      <c r="J72" s="365" t="s">
        <v>305</v>
      </c>
      <c r="K72" s="369">
        <v>1.5</v>
      </c>
      <c r="L72" s="369">
        <v>4.5</v>
      </c>
      <c r="N72" s="184"/>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row>
    <row r="73" spans="1:39">
      <c r="A73" s="184"/>
      <c r="B73" s="370" t="s">
        <v>1</v>
      </c>
      <c r="C73" s="371">
        <v>17400</v>
      </c>
      <c r="D73" s="372">
        <v>19900</v>
      </c>
      <c r="E73" s="372">
        <v>22400</v>
      </c>
      <c r="F73" s="372">
        <v>24850</v>
      </c>
      <c r="G73" s="372">
        <v>26850</v>
      </c>
      <c r="H73" s="373">
        <v>28850</v>
      </c>
      <c r="I73" s="366"/>
      <c r="J73" s="370" t="s">
        <v>1</v>
      </c>
      <c r="K73" s="374">
        <f t="shared" ref="K73:K79" si="43">(C73+D73)/2</f>
        <v>18650</v>
      </c>
      <c r="L73" s="374">
        <f t="shared" ref="L73:L79" si="44">(F73+G73)/2</f>
        <v>25850</v>
      </c>
      <c r="N73" s="184"/>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row>
    <row r="74" spans="1:39">
      <c r="A74" s="184"/>
      <c r="B74" s="370" t="s">
        <v>2</v>
      </c>
      <c r="C74" s="375">
        <f t="shared" ref="C74:H74" si="45">0.8*C75</f>
        <v>23240</v>
      </c>
      <c r="D74" s="374">
        <f t="shared" si="45"/>
        <v>26560</v>
      </c>
      <c r="E74" s="374">
        <f t="shared" si="45"/>
        <v>29880</v>
      </c>
      <c r="F74" s="374">
        <f t="shared" si="45"/>
        <v>33160</v>
      </c>
      <c r="G74" s="374">
        <f t="shared" si="45"/>
        <v>35840</v>
      </c>
      <c r="H74" s="376">
        <f t="shared" si="45"/>
        <v>38480</v>
      </c>
      <c r="I74" s="366"/>
      <c r="J74" s="370" t="s">
        <v>2</v>
      </c>
      <c r="K74" s="374">
        <f t="shared" si="43"/>
        <v>24900</v>
      </c>
      <c r="L74" s="374">
        <f t="shared" si="44"/>
        <v>34500</v>
      </c>
      <c r="N74" s="184"/>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row>
    <row r="75" spans="1:39">
      <c r="A75" s="184"/>
      <c r="B75" s="370" t="s">
        <v>0</v>
      </c>
      <c r="C75" s="377">
        <v>29050</v>
      </c>
      <c r="D75" s="378">
        <v>33200</v>
      </c>
      <c r="E75" s="378">
        <v>37350</v>
      </c>
      <c r="F75" s="378">
        <v>41450</v>
      </c>
      <c r="G75" s="378">
        <v>44800</v>
      </c>
      <c r="H75" s="379">
        <v>48100</v>
      </c>
      <c r="I75" s="366"/>
      <c r="J75" s="370" t="s">
        <v>0</v>
      </c>
      <c r="K75" s="374">
        <f t="shared" si="43"/>
        <v>31125</v>
      </c>
      <c r="L75" s="374">
        <f t="shared" si="44"/>
        <v>43125</v>
      </c>
      <c r="N75" s="184"/>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367"/>
      <c r="AL75" s="367"/>
      <c r="AM75" s="367"/>
    </row>
    <row r="76" spans="1:39">
      <c r="A76" s="184"/>
      <c r="B76" s="370" t="s">
        <v>3</v>
      </c>
      <c r="C76" s="377">
        <v>34860</v>
      </c>
      <c r="D76" s="378">
        <v>39840</v>
      </c>
      <c r="E76" s="378">
        <v>44820</v>
      </c>
      <c r="F76" s="378">
        <v>49740</v>
      </c>
      <c r="G76" s="378">
        <v>53760</v>
      </c>
      <c r="H76" s="379">
        <v>57720</v>
      </c>
      <c r="I76" s="366"/>
      <c r="J76" s="370" t="s">
        <v>3</v>
      </c>
      <c r="K76" s="374">
        <f t="shared" si="43"/>
        <v>37350</v>
      </c>
      <c r="L76" s="374">
        <f t="shared" si="44"/>
        <v>51750</v>
      </c>
      <c r="N76" s="184"/>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367"/>
      <c r="AL76" s="367"/>
      <c r="AM76" s="367"/>
    </row>
    <row r="77" spans="1:39">
      <c r="A77" s="184"/>
      <c r="B77" s="370" t="s">
        <v>291</v>
      </c>
      <c r="C77" s="375">
        <f>1.4*C75</f>
        <v>40670</v>
      </c>
      <c r="D77" s="374">
        <f t="shared" ref="D77:H77" si="46">1.4*D75</f>
        <v>46480</v>
      </c>
      <c r="E77" s="374">
        <f t="shared" si="46"/>
        <v>52290</v>
      </c>
      <c r="F77" s="374">
        <f t="shared" si="46"/>
        <v>58029.999999999993</v>
      </c>
      <c r="G77" s="374">
        <f t="shared" si="46"/>
        <v>62719.999999999993</v>
      </c>
      <c r="H77" s="376">
        <f t="shared" si="46"/>
        <v>67340</v>
      </c>
      <c r="I77" s="366"/>
      <c r="J77" s="370" t="s">
        <v>291</v>
      </c>
      <c r="K77" s="374">
        <f t="shared" si="43"/>
        <v>43575</v>
      </c>
      <c r="L77" s="374">
        <f t="shared" si="44"/>
        <v>60374.999999999993</v>
      </c>
      <c r="N77" s="184"/>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367"/>
      <c r="AL77" s="367"/>
      <c r="AM77" s="367"/>
    </row>
    <row r="78" spans="1:39">
      <c r="A78" s="184"/>
      <c r="B78" s="370" t="s">
        <v>178</v>
      </c>
      <c r="C78" s="377">
        <v>46450</v>
      </c>
      <c r="D78" s="378">
        <v>53050</v>
      </c>
      <c r="E78" s="378">
        <v>59700</v>
      </c>
      <c r="F78" s="378">
        <v>66300</v>
      </c>
      <c r="G78" s="378">
        <v>71650</v>
      </c>
      <c r="H78" s="379">
        <v>76950</v>
      </c>
      <c r="I78" s="366"/>
      <c r="J78" s="370" t="s">
        <v>178</v>
      </c>
      <c r="K78" s="374">
        <f t="shared" si="43"/>
        <v>49750</v>
      </c>
      <c r="L78" s="374">
        <f t="shared" si="44"/>
        <v>68975</v>
      </c>
      <c r="N78" s="184"/>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row>
    <row r="79" spans="1:39">
      <c r="A79" s="184"/>
      <c r="B79" s="370" t="s">
        <v>4</v>
      </c>
      <c r="C79" s="380">
        <f t="shared" ref="C79:H79" si="47">2*C75</f>
        <v>58100</v>
      </c>
      <c r="D79" s="381">
        <f t="shared" si="47"/>
        <v>66400</v>
      </c>
      <c r="E79" s="381">
        <f t="shared" si="47"/>
        <v>74700</v>
      </c>
      <c r="F79" s="381">
        <f t="shared" si="47"/>
        <v>82900</v>
      </c>
      <c r="G79" s="381">
        <f t="shared" si="47"/>
        <v>89600</v>
      </c>
      <c r="H79" s="382">
        <f t="shared" si="47"/>
        <v>96200</v>
      </c>
      <c r="I79" s="366"/>
      <c r="J79" s="370" t="s">
        <v>4</v>
      </c>
      <c r="K79" s="374">
        <f t="shared" si="43"/>
        <v>62250</v>
      </c>
      <c r="L79" s="374">
        <f t="shared" si="44"/>
        <v>86250</v>
      </c>
      <c r="N79" s="184"/>
      <c r="O79" s="367"/>
      <c r="P79" s="367"/>
      <c r="Q79" s="367"/>
      <c r="R79" s="367"/>
      <c r="S79" s="367"/>
      <c r="T79" s="367"/>
      <c r="U79" s="367"/>
      <c r="V79" s="367"/>
      <c r="W79" s="367"/>
      <c r="X79" s="367"/>
      <c r="Y79" s="367"/>
      <c r="Z79" s="367"/>
      <c r="AA79" s="367"/>
      <c r="AB79" s="367"/>
      <c r="AC79" s="367"/>
      <c r="AD79" s="367"/>
      <c r="AE79" s="367"/>
      <c r="AF79" s="367"/>
      <c r="AG79" s="367"/>
      <c r="AH79" s="367"/>
      <c r="AI79" s="367"/>
      <c r="AJ79" s="367"/>
      <c r="AK79" s="367"/>
      <c r="AL79" s="367"/>
      <c r="AM79" s="367"/>
    </row>
    <row r="80" spans="1:39">
      <c r="A80" s="184"/>
      <c r="B80" s="365"/>
      <c r="C80" s="383" t="s">
        <v>102</v>
      </c>
      <c r="D80" s="180"/>
      <c r="E80" s="383" t="s">
        <v>103</v>
      </c>
      <c r="F80" s="180"/>
      <c r="G80" s="180"/>
      <c r="H80" s="383" t="s">
        <v>106</v>
      </c>
      <c r="I80" s="366"/>
      <c r="J80" s="365"/>
      <c r="K80" s="383" t="s">
        <v>104</v>
      </c>
      <c r="L80" s="383" t="s">
        <v>105</v>
      </c>
      <c r="N80" s="184"/>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row>
    <row r="81" spans="1:39">
      <c r="A81" s="184"/>
      <c r="B81" s="366"/>
      <c r="C81" s="366"/>
      <c r="D81" s="366"/>
      <c r="E81" s="366"/>
      <c r="F81" s="366"/>
      <c r="G81" s="366"/>
      <c r="H81" s="366"/>
      <c r="I81" s="366"/>
      <c r="J81" s="366"/>
      <c r="K81" s="366"/>
      <c r="L81" s="366"/>
      <c r="M81" s="366"/>
      <c r="N81" s="184"/>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367"/>
      <c r="AL81" s="367"/>
      <c r="AM81" s="367"/>
    </row>
    <row r="82" spans="1:39">
      <c r="C82" s="384" t="s">
        <v>292</v>
      </c>
      <c r="D82" s="385" t="s">
        <v>262</v>
      </c>
      <c r="E82" s="385" t="s">
        <v>293</v>
      </c>
      <c r="F82" s="385" t="s">
        <v>294</v>
      </c>
      <c r="G82" s="385" t="s">
        <v>295</v>
      </c>
      <c r="J82" s="366"/>
      <c r="K82" s="366"/>
      <c r="L82" s="366"/>
      <c r="M82" s="366"/>
      <c r="N82" s="184"/>
      <c r="O82" s="367"/>
      <c r="P82" s="367"/>
      <c r="Q82" s="367"/>
      <c r="R82" s="367"/>
      <c r="S82" s="367"/>
      <c r="T82" s="367"/>
      <c r="U82" s="367"/>
      <c r="V82" s="367"/>
      <c r="W82" s="367"/>
      <c r="X82" s="367"/>
      <c r="Y82" s="367"/>
      <c r="Z82" s="367"/>
      <c r="AA82" s="367"/>
      <c r="AB82" s="367"/>
      <c r="AC82" s="367"/>
      <c r="AD82" s="367"/>
      <c r="AE82" s="367"/>
      <c r="AF82" s="367"/>
      <c r="AG82" s="367"/>
      <c r="AH82" s="367"/>
      <c r="AI82" s="367"/>
      <c r="AJ82" s="367"/>
      <c r="AK82" s="367"/>
      <c r="AL82" s="367"/>
      <c r="AM82" s="367"/>
    </row>
    <row r="83" spans="1:39">
      <c r="A83" s="184"/>
      <c r="C83" s="386" t="s">
        <v>296</v>
      </c>
      <c r="D83" s="387">
        <v>726</v>
      </c>
      <c r="E83" s="387">
        <v>815</v>
      </c>
      <c r="F83" s="387">
        <v>815</v>
      </c>
      <c r="G83" s="387">
        <v>435</v>
      </c>
      <c r="J83" s="366"/>
      <c r="K83" s="366"/>
      <c r="L83" s="366"/>
      <c r="M83" s="366"/>
      <c r="N83" s="184"/>
      <c r="O83" s="367"/>
      <c r="P83" s="367"/>
      <c r="Q83" s="367"/>
      <c r="R83" s="367"/>
      <c r="S83" s="367"/>
      <c r="T83" s="367"/>
      <c r="U83" s="367"/>
      <c r="V83" s="367"/>
      <c r="W83" s="367"/>
      <c r="X83" s="367"/>
      <c r="Y83" s="367"/>
      <c r="Z83" s="367"/>
      <c r="AA83" s="367"/>
      <c r="AB83" s="367"/>
      <c r="AC83" s="367"/>
      <c r="AD83" s="367"/>
      <c r="AE83" s="367"/>
      <c r="AF83" s="367"/>
      <c r="AG83" s="367"/>
      <c r="AH83" s="367"/>
      <c r="AI83" s="367"/>
      <c r="AJ83" s="367"/>
      <c r="AK83" s="367"/>
      <c r="AL83" s="367"/>
      <c r="AM83" s="367"/>
    </row>
    <row r="84" spans="1:39">
      <c r="A84" s="184"/>
      <c r="C84" s="365" t="s">
        <v>297</v>
      </c>
      <c r="D84" s="388">
        <v>778</v>
      </c>
      <c r="E84" s="388">
        <v>961</v>
      </c>
      <c r="F84" s="388">
        <v>961</v>
      </c>
      <c r="G84" s="388">
        <v>466</v>
      </c>
      <c r="J84" s="366"/>
      <c r="K84" s="366"/>
      <c r="L84" s="366"/>
      <c r="M84" s="366"/>
      <c r="N84" s="184"/>
      <c r="O84" s="367"/>
      <c r="P84" s="367"/>
      <c r="Q84" s="367"/>
      <c r="R84" s="367"/>
      <c r="S84" s="367"/>
      <c r="T84" s="367"/>
      <c r="U84" s="367"/>
      <c r="V84" s="367"/>
      <c r="W84" s="367"/>
      <c r="X84" s="367"/>
      <c r="Y84" s="367"/>
      <c r="Z84" s="367"/>
      <c r="AA84" s="367"/>
      <c r="AB84" s="367"/>
      <c r="AC84" s="367"/>
      <c r="AD84" s="367"/>
      <c r="AE84" s="367"/>
      <c r="AF84" s="367"/>
      <c r="AG84" s="367"/>
      <c r="AH84" s="367"/>
      <c r="AI84" s="367"/>
      <c r="AJ84" s="367"/>
      <c r="AK84" s="367"/>
      <c r="AL84" s="367"/>
      <c r="AM84" s="367"/>
    </row>
    <row r="85" spans="1:39">
      <c r="A85" s="184"/>
      <c r="C85" s="365" t="s">
        <v>298</v>
      </c>
      <c r="D85" s="388">
        <v>933</v>
      </c>
      <c r="E85" s="388">
        <v>1165</v>
      </c>
      <c r="F85" s="388">
        <v>1165</v>
      </c>
      <c r="G85" s="388">
        <v>575</v>
      </c>
      <c r="J85" s="366"/>
      <c r="K85" s="366"/>
      <c r="L85" s="366"/>
      <c r="M85" s="366"/>
      <c r="N85" s="184"/>
      <c r="O85" s="367"/>
      <c r="P85" s="367"/>
      <c r="Q85" s="367"/>
      <c r="R85" s="367"/>
      <c r="S85" s="367"/>
      <c r="T85" s="367"/>
      <c r="U85" s="367"/>
      <c r="V85" s="367"/>
      <c r="W85" s="367"/>
      <c r="X85" s="367"/>
      <c r="Y85" s="367"/>
      <c r="Z85" s="367"/>
      <c r="AA85" s="367"/>
      <c r="AB85" s="367"/>
      <c r="AC85" s="367"/>
      <c r="AD85" s="367"/>
      <c r="AE85" s="367"/>
      <c r="AF85" s="367"/>
      <c r="AG85" s="367"/>
      <c r="AH85" s="367"/>
      <c r="AI85" s="367"/>
      <c r="AJ85" s="367"/>
      <c r="AK85" s="367"/>
      <c r="AL85" s="367"/>
      <c r="AM85" s="367"/>
    </row>
    <row r="86" spans="1:39">
      <c r="A86" s="184"/>
      <c r="C86" s="365" t="s">
        <v>299</v>
      </c>
      <c r="D86" s="388">
        <v>1078</v>
      </c>
      <c r="E86" s="388">
        <v>1367</v>
      </c>
      <c r="F86" s="388">
        <v>1500</v>
      </c>
      <c r="G86" s="388">
        <v>752</v>
      </c>
      <c r="J86" s="366"/>
      <c r="K86" s="366"/>
      <c r="L86" s="366"/>
      <c r="M86" s="366"/>
      <c r="N86" s="184"/>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row>
    <row r="87" spans="1:39">
      <c r="A87" s="184"/>
      <c r="C87" s="365" t="s">
        <v>300</v>
      </c>
      <c r="D87" s="389">
        <v>1202</v>
      </c>
      <c r="E87" s="389">
        <v>1505</v>
      </c>
      <c r="F87" s="389">
        <v>1849</v>
      </c>
      <c r="G87" s="389">
        <v>929</v>
      </c>
      <c r="J87" s="366"/>
      <c r="K87" s="366"/>
      <c r="L87" s="366"/>
      <c r="M87" s="366"/>
      <c r="N87" s="184"/>
      <c r="O87" s="367"/>
      <c r="P87" s="367"/>
      <c r="Q87" s="367"/>
      <c r="R87" s="367"/>
      <c r="S87" s="367"/>
      <c r="T87" s="367"/>
      <c r="U87" s="367"/>
      <c r="V87" s="367"/>
      <c r="W87" s="367"/>
      <c r="X87" s="367"/>
      <c r="Y87" s="367"/>
      <c r="Z87" s="367"/>
      <c r="AA87" s="367"/>
      <c r="AB87" s="367"/>
      <c r="AC87" s="367"/>
      <c r="AD87" s="367"/>
      <c r="AE87" s="367"/>
      <c r="AF87" s="367"/>
      <c r="AG87" s="367"/>
      <c r="AH87" s="367"/>
      <c r="AI87" s="367"/>
      <c r="AJ87" s="367"/>
      <c r="AK87" s="367"/>
      <c r="AL87" s="367"/>
      <c r="AM87" s="367"/>
    </row>
    <row r="88" spans="1:39">
      <c r="A88" s="184"/>
      <c r="B88" s="366"/>
      <c r="C88" s="366"/>
      <c r="D88" s="366"/>
      <c r="E88" s="366"/>
      <c r="F88" s="366"/>
      <c r="G88" s="366"/>
      <c r="H88" s="366"/>
      <c r="I88" s="366"/>
      <c r="J88" s="366"/>
      <c r="K88" s="366"/>
      <c r="L88" s="366"/>
      <c r="M88" s="366"/>
      <c r="N88" s="184"/>
      <c r="O88" s="367"/>
      <c r="P88" s="367"/>
      <c r="Q88" s="367"/>
      <c r="R88" s="367"/>
      <c r="S88" s="367"/>
      <c r="T88" s="367"/>
      <c r="U88" s="367"/>
      <c r="V88" s="367"/>
      <c r="W88" s="367"/>
      <c r="X88" s="367"/>
      <c r="Y88" s="367"/>
      <c r="Z88" s="367"/>
      <c r="AA88" s="367"/>
      <c r="AB88" s="367"/>
      <c r="AC88" s="367"/>
      <c r="AD88" s="367"/>
      <c r="AE88" s="367"/>
      <c r="AF88" s="367"/>
      <c r="AG88" s="367"/>
      <c r="AH88" s="367"/>
      <c r="AI88" s="367"/>
      <c r="AJ88" s="367"/>
      <c r="AK88" s="367"/>
      <c r="AL88" s="367"/>
      <c r="AM88" s="367"/>
    </row>
    <row r="89" spans="1:39">
      <c r="A89" s="184"/>
      <c r="B89" s="368" t="s">
        <v>127</v>
      </c>
      <c r="C89" s="366"/>
      <c r="D89" s="366"/>
      <c r="E89" s="366"/>
      <c r="F89" s="366"/>
      <c r="G89" s="366"/>
      <c r="H89" s="366"/>
      <c r="I89" s="366"/>
      <c r="J89" s="366"/>
      <c r="K89" s="366"/>
      <c r="L89" s="366"/>
      <c r="M89" s="366"/>
      <c r="N89" s="184"/>
      <c r="O89" s="367"/>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7"/>
      <c r="AM89" s="367"/>
    </row>
    <row r="90" spans="1:39">
      <c r="A90" s="184"/>
      <c r="B90" s="366"/>
      <c r="C90" s="390" t="s">
        <v>301</v>
      </c>
      <c r="D90" s="390" t="s">
        <v>1</v>
      </c>
      <c r="E90" s="390" t="s">
        <v>2</v>
      </c>
      <c r="F90" s="390" t="s">
        <v>0</v>
      </c>
      <c r="G90" s="390" t="s">
        <v>3</v>
      </c>
      <c r="H90" s="390" t="s">
        <v>291</v>
      </c>
      <c r="I90" s="390" t="s">
        <v>178</v>
      </c>
      <c r="J90" s="391" t="s">
        <v>4</v>
      </c>
      <c r="K90" s="366"/>
      <c r="L90" s="366"/>
      <c r="M90" s="366"/>
      <c r="N90" s="184"/>
      <c r="O90" s="367"/>
      <c r="P90" s="367"/>
      <c r="Q90" s="367"/>
      <c r="R90" s="367"/>
      <c r="S90" s="367"/>
      <c r="T90" s="367"/>
      <c r="U90" s="367"/>
      <c r="V90" s="367"/>
      <c r="W90" s="367"/>
      <c r="X90" s="367"/>
      <c r="Y90" s="367"/>
      <c r="Z90" s="367"/>
      <c r="AA90" s="367"/>
      <c r="AB90" s="367"/>
      <c r="AC90" s="367"/>
      <c r="AD90" s="367"/>
      <c r="AE90" s="367"/>
      <c r="AF90" s="367"/>
      <c r="AG90" s="367"/>
      <c r="AH90" s="367"/>
      <c r="AI90" s="367"/>
      <c r="AJ90" s="367"/>
      <c r="AK90" s="367"/>
      <c r="AL90" s="367"/>
      <c r="AM90" s="367"/>
    </row>
    <row r="91" spans="1:39">
      <c r="A91" s="184"/>
      <c r="B91" s="370" t="s">
        <v>302</v>
      </c>
      <c r="C91" s="392">
        <f>ROUNDDOWN(0.2*J91,0)</f>
        <v>290</v>
      </c>
      <c r="D91" s="393">
        <f>ROUNDDOWN(0.3*J91,0)</f>
        <v>435</v>
      </c>
      <c r="E91" s="393">
        <f>ROUNDDOWN(0.4*J91,0)</f>
        <v>581</v>
      </c>
      <c r="F91" s="393">
        <f>ROUNDDOWN(0.5*J91,0)</f>
        <v>726</v>
      </c>
      <c r="G91" s="393">
        <f>ROUNDDOWN(0.6*J91,0)</f>
        <v>871</v>
      </c>
      <c r="H91" s="393">
        <f>ROUNDDOWN(0.7*J91,0)</f>
        <v>1016</v>
      </c>
      <c r="I91" s="393">
        <f>ROUNDDOWN(0.8*J91,0)</f>
        <v>1162</v>
      </c>
      <c r="J91" s="394">
        <f>C79/12*0.3</f>
        <v>1452.5</v>
      </c>
      <c r="K91" s="366"/>
      <c r="L91" s="366"/>
      <c r="M91" s="366"/>
      <c r="N91" s="184"/>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row>
    <row r="92" spans="1:39">
      <c r="A92" s="184"/>
      <c r="B92" s="370" t="s">
        <v>297</v>
      </c>
      <c r="C92" s="375">
        <f t="shared" ref="C92:C95" si="48">ROUNDDOWN(0.2*J92,0)</f>
        <v>311</v>
      </c>
      <c r="D92" s="374">
        <f>ROUNDDOWN(0.3*J92,0)</f>
        <v>466</v>
      </c>
      <c r="E92" s="374">
        <f>ROUNDDOWN(0.4*J92,0)</f>
        <v>622</v>
      </c>
      <c r="F92" s="374">
        <f>ROUNDDOWN(0.5*J92,0)</f>
        <v>778</v>
      </c>
      <c r="G92" s="374">
        <f>ROUNDDOWN(0.6*J92,0)</f>
        <v>933</v>
      </c>
      <c r="H92" s="374">
        <f>ROUNDDOWN(0.7*J92,0)</f>
        <v>1089</v>
      </c>
      <c r="I92" s="374">
        <f t="shared" ref="I92:I95" si="49">ROUNDDOWN(0.8*J92,0)</f>
        <v>1245</v>
      </c>
      <c r="J92" s="395">
        <f>K79/12*0.3</f>
        <v>1556.25</v>
      </c>
      <c r="K92" s="366"/>
      <c r="L92" s="366"/>
      <c r="M92" s="366"/>
      <c r="N92" s="184"/>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row>
    <row r="93" spans="1:39">
      <c r="A93" s="184"/>
      <c r="B93" s="370" t="s">
        <v>298</v>
      </c>
      <c r="C93" s="375">
        <f t="shared" si="48"/>
        <v>373</v>
      </c>
      <c r="D93" s="374">
        <f>ROUNDDOWN(0.3*J93,0)</f>
        <v>560</v>
      </c>
      <c r="E93" s="374">
        <f>ROUNDDOWN(0.4*J93,0)</f>
        <v>747</v>
      </c>
      <c r="F93" s="374">
        <f>ROUNDDOWN(0.5*J93,0)</f>
        <v>933</v>
      </c>
      <c r="G93" s="374">
        <f>ROUNDDOWN(0.6*J93,0)</f>
        <v>1120</v>
      </c>
      <c r="H93" s="374">
        <f>ROUNDDOWN(0.7*J93,0)</f>
        <v>1307</v>
      </c>
      <c r="I93" s="374">
        <f t="shared" si="49"/>
        <v>1494</v>
      </c>
      <c r="J93" s="395">
        <f>E79/12*0.3</f>
        <v>1867.5</v>
      </c>
      <c r="K93" s="366"/>
      <c r="L93" s="366"/>
      <c r="M93" s="366"/>
      <c r="N93" s="184"/>
      <c r="O93" s="367"/>
      <c r="P93" s="367"/>
      <c r="Q93" s="367"/>
      <c r="R93" s="367"/>
      <c r="S93" s="367"/>
      <c r="T93" s="367"/>
      <c r="U93" s="367"/>
      <c r="V93" s="367"/>
      <c r="W93" s="367"/>
      <c r="X93" s="367"/>
      <c r="Y93" s="367"/>
      <c r="Z93" s="367"/>
      <c r="AA93" s="367"/>
      <c r="AB93" s="367"/>
      <c r="AC93" s="367"/>
      <c r="AD93" s="367"/>
      <c r="AE93" s="367"/>
      <c r="AF93" s="367"/>
      <c r="AG93" s="367"/>
      <c r="AH93" s="367"/>
      <c r="AI93" s="367"/>
      <c r="AJ93" s="367"/>
      <c r="AK93" s="367"/>
      <c r="AL93" s="367"/>
      <c r="AM93" s="367"/>
    </row>
    <row r="94" spans="1:39">
      <c r="A94" s="184"/>
      <c r="B94" s="370" t="s">
        <v>299</v>
      </c>
      <c r="C94" s="375">
        <f t="shared" si="48"/>
        <v>431</v>
      </c>
      <c r="D94" s="374">
        <f>ROUNDDOWN(0.3*J94,0)</f>
        <v>646</v>
      </c>
      <c r="E94" s="374">
        <f>ROUNDDOWN(0.4*J94,0)</f>
        <v>862</v>
      </c>
      <c r="F94" s="374">
        <f>ROUNDDOWN(0.5*J94,0)</f>
        <v>1078</v>
      </c>
      <c r="G94" s="374">
        <f>ROUNDDOWN(0.6*J94,0)</f>
        <v>1293</v>
      </c>
      <c r="H94" s="374">
        <f>ROUNDDOWN(0.7*J94,0)</f>
        <v>1509</v>
      </c>
      <c r="I94" s="374">
        <f t="shared" si="49"/>
        <v>1725</v>
      </c>
      <c r="J94" s="395">
        <f>L79/12*0.3</f>
        <v>2156.25</v>
      </c>
      <c r="K94" s="366"/>
      <c r="L94" s="366"/>
      <c r="M94" s="366"/>
      <c r="N94" s="184"/>
      <c r="O94" s="367"/>
      <c r="P94" s="367"/>
      <c r="Q94" s="367"/>
      <c r="R94" s="367"/>
      <c r="S94" s="367"/>
      <c r="T94" s="367"/>
      <c r="U94" s="367"/>
      <c r="V94" s="367"/>
      <c r="W94" s="367"/>
      <c r="X94" s="367"/>
      <c r="Y94" s="367"/>
      <c r="Z94" s="367"/>
      <c r="AA94" s="367"/>
      <c r="AB94" s="367"/>
      <c r="AC94" s="367"/>
      <c r="AD94" s="367"/>
      <c r="AE94" s="367"/>
      <c r="AF94" s="367"/>
      <c r="AG94" s="367"/>
      <c r="AH94" s="367"/>
      <c r="AI94" s="367"/>
      <c r="AJ94" s="367"/>
      <c r="AK94" s="367"/>
      <c r="AL94" s="367"/>
      <c r="AM94" s="367"/>
    </row>
    <row r="95" spans="1:39">
      <c r="A95" s="184"/>
      <c r="B95" s="370" t="s">
        <v>300</v>
      </c>
      <c r="C95" s="380">
        <f t="shared" si="48"/>
        <v>481</v>
      </c>
      <c r="D95" s="381">
        <f>ROUNDDOWN(0.3*J95,0)</f>
        <v>721</v>
      </c>
      <c r="E95" s="381">
        <f>ROUNDDOWN(0.4*J95,0)</f>
        <v>962</v>
      </c>
      <c r="F95" s="381">
        <f>ROUNDDOWN(0.5*J95,0)</f>
        <v>1202</v>
      </c>
      <c r="G95" s="381">
        <f>ROUNDDOWN(0.6*J95,0)</f>
        <v>1443</v>
      </c>
      <c r="H95" s="381">
        <f>ROUNDDOWN(0.7*J95,0)</f>
        <v>1683</v>
      </c>
      <c r="I95" s="381">
        <f t="shared" si="49"/>
        <v>1924</v>
      </c>
      <c r="J95" s="396">
        <f>H79/12*0.3</f>
        <v>2405</v>
      </c>
      <c r="K95" s="366"/>
      <c r="L95" s="366"/>
      <c r="M95" s="366"/>
      <c r="N95" s="184"/>
      <c r="O95" s="367"/>
      <c r="P95" s="367"/>
      <c r="Q95" s="367"/>
      <c r="R95" s="367"/>
      <c r="S95" s="367"/>
      <c r="T95" s="367"/>
      <c r="U95" s="367"/>
      <c r="V95" s="367"/>
      <c r="W95" s="367"/>
      <c r="X95" s="367"/>
      <c r="Y95" s="367"/>
      <c r="Z95" s="367"/>
      <c r="AA95" s="367"/>
      <c r="AB95" s="367"/>
      <c r="AC95" s="367"/>
      <c r="AD95" s="367"/>
      <c r="AE95" s="367"/>
      <c r="AF95" s="367"/>
      <c r="AG95" s="367"/>
      <c r="AH95" s="367"/>
      <c r="AI95" s="367"/>
      <c r="AJ95" s="367"/>
      <c r="AK95" s="367"/>
      <c r="AL95" s="367"/>
      <c r="AM95" s="367"/>
    </row>
    <row r="96" spans="1:39">
      <c r="A96" s="184"/>
      <c r="B96" s="366"/>
      <c r="C96" s="366"/>
      <c r="D96" s="366"/>
      <c r="E96" s="366"/>
      <c r="F96" s="366"/>
      <c r="G96" s="366"/>
      <c r="H96" s="366"/>
      <c r="I96" s="366"/>
      <c r="J96" s="366"/>
      <c r="K96" s="366"/>
      <c r="L96" s="366"/>
      <c r="M96" s="366"/>
      <c r="N96" s="184"/>
      <c r="O96" s="367"/>
      <c r="P96" s="367"/>
      <c r="Q96" s="367"/>
      <c r="R96" s="367"/>
      <c r="S96" s="367"/>
      <c r="T96" s="367"/>
      <c r="U96" s="367"/>
      <c r="V96" s="367"/>
      <c r="W96" s="367"/>
      <c r="X96" s="367"/>
      <c r="Y96" s="367"/>
      <c r="Z96" s="367"/>
      <c r="AA96" s="367"/>
      <c r="AB96" s="367"/>
      <c r="AC96" s="367"/>
      <c r="AD96" s="367"/>
      <c r="AE96" s="367"/>
      <c r="AF96" s="367"/>
      <c r="AG96" s="367"/>
      <c r="AH96" s="367"/>
      <c r="AI96" s="367"/>
      <c r="AJ96" s="367"/>
      <c r="AK96" s="367"/>
      <c r="AL96" s="367"/>
      <c r="AM96" s="367"/>
    </row>
    <row r="97" spans="1:39" hidden="1">
      <c r="A97" s="184"/>
      <c r="B97" s="368" t="s">
        <v>303</v>
      </c>
      <c r="C97" s="366"/>
      <c r="D97" s="366"/>
      <c r="E97" s="366"/>
      <c r="F97" s="366"/>
      <c r="G97" s="366"/>
      <c r="H97" s="366"/>
      <c r="I97" s="366"/>
      <c r="J97" s="366"/>
      <c r="K97" s="366"/>
      <c r="L97" s="366"/>
      <c r="M97" s="366"/>
      <c r="N97" s="184"/>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row>
    <row r="98" spans="1:39" hidden="1">
      <c r="A98" s="184"/>
      <c r="B98" s="366"/>
      <c r="C98" s="390" t="s">
        <v>301</v>
      </c>
      <c r="D98" s="390" t="s">
        <v>1</v>
      </c>
      <c r="E98" s="390" t="s">
        <v>2</v>
      </c>
      <c r="F98" s="390" t="s">
        <v>0</v>
      </c>
      <c r="G98" s="390" t="s">
        <v>3</v>
      </c>
      <c r="H98" s="390" t="s">
        <v>291</v>
      </c>
      <c r="I98" s="390" t="s">
        <v>178</v>
      </c>
      <c r="J98" s="391" t="s">
        <v>4</v>
      </c>
      <c r="K98" s="366"/>
      <c r="L98" s="366"/>
      <c r="M98" s="366"/>
      <c r="N98" s="184"/>
      <c r="O98" s="367"/>
      <c r="P98" s="367"/>
      <c r="Q98" s="367"/>
      <c r="R98" s="367"/>
      <c r="S98" s="367"/>
      <c r="T98" s="367"/>
      <c r="U98" s="367"/>
      <c r="V98" s="367"/>
      <c r="W98" s="367"/>
      <c r="X98" s="367"/>
      <c r="Y98" s="367"/>
      <c r="Z98" s="367"/>
      <c r="AA98" s="367"/>
      <c r="AB98" s="367"/>
      <c r="AC98" s="367"/>
      <c r="AD98" s="367"/>
      <c r="AE98" s="367"/>
      <c r="AF98" s="367"/>
      <c r="AG98" s="367"/>
      <c r="AH98" s="367"/>
      <c r="AI98" s="367"/>
      <c r="AJ98" s="367"/>
      <c r="AK98" s="367"/>
      <c r="AL98" s="367"/>
      <c r="AM98" s="367"/>
    </row>
    <row r="99" spans="1:39" hidden="1">
      <c r="A99" s="184"/>
      <c r="B99" s="365" t="s">
        <v>302</v>
      </c>
      <c r="C99" s="392">
        <f t="shared" ref="C99:J99" si="50">C91-UA0B</f>
        <v>290</v>
      </c>
      <c r="D99" s="393">
        <f t="shared" si="50"/>
        <v>435</v>
      </c>
      <c r="E99" s="393">
        <f t="shared" si="50"/>
        <v>581</v>
      </c>
      <c r="F99" s="393">
        <f t="shared" si="50"/>
        <v>726</v>
      </c>
      <c r="G99" s="393">
        <f t="shared" si="50"/>
        <v>871</v>
      </c>
      <c r="H99" s="393">
        <f t="shared" si="50"/>
        <v>1016</v>
      </c>
      <c r="I99" s="393">
        <f t="shared" si="50"/>
        <v>1162</v>
      </c>
      <c r="J99" s="394">
        <f t="shared" si="50"/>
        <v>1452.5</v>
      </c>
      <c r="K99" s="383" t="str">
        <f>IF(UA0B=0,"May not be valid, no UA for this size.","")</f>
        <v>May not be valid, no UA for this size.</v>
      </c>
      <c r="L99" s="383"/>
      <c r="M99" s="366"/>
      <c r="N99" s="184"/>
      <c r="O99" s="367"/>
      <c r="P99" s="367"/>
      <c r="Q99" s="367"/>
      <c r="R99" s="367"/>
      <c r="S99" s="367"/>
      <c r="T99" s="367"/>
      <c r="U99" s="367"/>
      <c r="V99" s="367"/>
      <c r="W99" s="367"/>
      <c r="X99" s="367"/>
      <c r="Y99" s="367"/>
      <c r="Z99" s="367"/>
      <c r="AA99" s="367"/>
      <c r="AB99" s="367"/>
      <c r="AC99" s="367"/>
      <c r="AD99" s="367"/>
      <c r="AE99" s="367"/>
      <c r="AF99" s="367"/>
      <c r="AG99" s="367"/>
      <c r="AH99" s="367"/>
      <c r="AI99" s="367"/>
      <c r="AJ99" s="367"/>
      <c r="AK99" s="367"/>
      <c r="AL99" s="367"/>
      <c r="AM99" s="367"/>
    </row>
    <row r="100" spans="1:39" hidden="1">
      <c r="A100" s="184"/>
      <c r="B100" s="365" t="s">
        <v>297</v>
      </c>
      <c r="C100" s="375">
        <f t="shared" ref="C100:J100" si="51">C92-UA1B</f>
        <v>311</v>
      </c>
      <c r="D100" s="374">
        <f t="shared" si="51"/>
        <v>466</v>
      </c>
      <c r="E100" s="374">
        <f t="shared" si="51"/>
        <v>622</v>
      </c>
      <c r="F100" s="374">
        <f t="shared" si="51"/>
        <v>778</v>
      </c>
      <c r="G100" s="374">
        <f t="shared" si="51"/>
        <v>933</v>
      </c>
      <c r="H100" s="374">
        <f t="shared" si="51"/>
        <v>1089</v>
      </c>
      <c r="I100" s="374">
        <f t="shared" si="51"/>
        <v>1245</v>
      </c>
      <c r="J100" s="395">
        <f t="shared" si="51"/>
        <v>1556.25</v>
      </c>
      <c r="K100" s="383" t="str">
        <f>IF(UA1B=0,"May not be valid, no UA for this size.","")</f>
        <v>May not be valid, no UA for this size.</v>
      </c>
      <c r="L100" s="383"/>
      <c r="M100" s="366"/>
      <c r="N100" s="184"/>
      <c r="O100" s="367"/>
      <c r="P100" s="367"/>
      <c r="Q100" s="367"/>
      <c r="R100" s="367"/>
      <c r="S100" s="367"/>
      <c r="T100" s="367"/>
      <c r="U100" s="367"/>
      <c r="V100" s="367"/>
      <c r="W100" s="367"/>
      <c r="X100" s="367"/>
      <c r="Y100" s="367"/>
      <c r="Z100" s="367"/>
      <c r="AA100" s="367"/>
      <c r="AB100" s="367"/>
      <c r="AC100" s="367"/>
      <c r="AD100" s="367"/>
      <c r="AE100" s="367"/>
      <c r="AF100" s="367"/>
      <c r="AG100" s="367"/>
      <c r="AH100" s="367"/>
      <c r="AI100" s="367"/>
      <c r="AJ100" s="367"/>
      <c r="AK100" s="367"/>
      <c r="AL100" s="367"/>
      <c r="AM100" s="367"/>
    </row>
    <row r="101" spans="1:39" hidden="1">
      <c r="A101" s="184"/>
      <c r="B101" s="365" t="s">
        <v>298</v>
      </c>
      <c r="C101" s="375">
        <f t="shared" ref="C101:J101" si="52">C93-UA2B</f>
        <v>373</v>
      </c>
      <c r="D101" s="374">
        <f t="shared" si="52"/>
        <v>560</v>
      </c>
      <c r="E101" s="374">
        <f t="shared" si="52"/>
        <v>747</v>
      </c>
      <c r="F101" s="374">
        <f t="shared" si="52"/>
        <v>933</v>
      </c>
      <c r="G101" s="374">
        <f t="shared" si="52"/>
        <v>1120</v>
      </c>
      <c r="H101" s="374">
        <f t="shared" si="52"/>
        <v>1307</v>
      </c>
      <c r="I101" s="374">
        <f t="shared" si="52"/>
        <v>1494</v>
      </c>
      <c r="J101" s="395">
        <f t="shared" si="52"/>
        <v>1867.5</v>
      </c>
      <c r="K101" s="383" t="str">
        <f>IF(UA2B=0,"May not be valid, no UA for this size.","")</f>
        <v>May not be valid, no UA for this size.</v>
      </c>
      <c r="L101" s="383"/>
      <c r="M101" s="366"/>
      <c r="N101" s="184"/>
      <c r="O101" s="367"/>
      <c r="P101" s="367"/>
      <c r="Q101" s="367"/>
      <c r="R101" s="367"/>
      <c r="S101" s="367"/>
      <c r="T101" s="367"/>
      <c r="U101" s="367"/>
      <c r="V101" s="367"/>
      <c r="W101" s="367"/>
      <c r="X101" s="367"/>
      <c r="Y101" s="367"/>
      <c r="Z101" s="367"/>
      <c r="AA101" s="367"/>
      <c r="AB101" s="367"/>
      <c r="AC101" s="367"/>
      <c r="AD101" s="367"/>
      <c r="AE101" s="367"/>
      <c r="AF101" s="367"/>
      <c r="AG101" s="367"/>
      <c r="AH101" s="367"/>
      <c r="AI101" s="367"/>
      <c r="AJ101" s="367"/>
      <c r="AK101" s="367"/>
      <c r="AL101" s="367"/>
      <c r="AM101" s="367"/>
    </row>
    <row r="102" spans="1:39" hidden="1">
      <c r="A102" s="184"/>
      <c r="B102" s="365" t="s">
        <v>299</v>
      </c>
      <c r="C102" s="375">
        <f t="shared" ref="C102:J102" si="53">C94-UA3B</f>
        <v>431</v>
      </c>
      <c r="D102" s="374">
        <f t="shared" si="53"/>
        <v>646</v>
      </c>
      <c r="E102" s="374">
        <f t="shared" si="53"/>
        <v>862</v>
      </c>
      <c r="F102" s="374">
        <f t="shared" si="53"/>
        <v>1078</v>
      </c>
      <c r="G102" s="374">
        <f t="shared" si="53"/>
        <v>1293</v>
      </c>
      <c r="H102" s="374">
        <f t="shared" si="53"/>
        <v>1509</v>
      </c>
      <c r="I102" s="374">
        <f t="shared" si="53"/>
        <v>1725</v>
      </c>
      <c r="J102" s="395">
        <f t="shared" si="53"/>
        <v>2156.25</v>
      </c>
      <c r="K102" s="383" t="str">
        <f>IF(UA3B=0,"May not be valid, no UA for this size.","")</f>
        <v>May not be valid, no UA for this size.</v>
      </c>
      <c r="L102" s="383"/>
      <c r="M102" s="366"/>
      <c r="N102" s="184"/>
      <c r="O102" s="367"/>
      <c r="P102" s="367"/>
      <c r="Q102" s="367"/>
      <c r="R102" s="367"/>
      <c r="S102" s="367"/>
      <c r="T102" s="367"/>
      <c r="U102" s="367"/>
      <c r="V102" s="367"/>
      <c r="W102" s="367"/>
      <c r="X102" s="367"/>
      <c r="Y102" s="367"/>
      <c r="Z102" s="367"/>
      <c r="AA102" s="367"/>
      <c r="AB102" s="367"/>
      <c r="AC102" s="367"/>
      <c r="AD102" s="367"/>
      <c r="AE102" s="367"/>
      <c r="AF102" s="367"/>
      <c r="AG102" s="367"/>
      <c r="AH102" s="367"/>
      <c r="AI102" s="367"/>
      <c r="AJ102" s="367"/>
      <c r="AK102" s="367"/>
      <c r="AL102" s="367"/>
      <c r="AM102" s="367"/>
    </row>
    <row r="103" spans="1:39" hidden="1">
      <c r="A103" s="184"/>
      <c r="B103" s="365" t="s">
        <v>300</v>
      </c>
      <c r="C103" s="380">
        <f t="shared" ref="C103:J103" si="54">C95-UA4B</f>
        <v>481</v>
      </c>
      <c r="D103" s="381">
        <f t="shared" si="54"/>
        <v>721</v>
      </c>
      <c r="E103" s="381">
        <f t="shared" si="54"/>
        <v>962</v>
      </c>
      <c r="F103" s="381">
        <f t="shared" si="54"/>
        <v>1202</v>
      </c>
      <c r="G103" s="381">
        <f t="shared" si="54"/>
        <v>1443</v>
      </c>
      <c r="H103" s="381">
        <f t="shared" si="54"/>
        <v>1683</v>
      </c>
      <c r="I103" s="381">
        <f t="shared" si="54"/>
        <v>1924</v>
      </c>
      <c r="J103" s="396">
        <f t="shared" si="54"/>
        <v>2405</v>
      </c>
      <c r="K103" s="383" t="str">
        <f>IF(UA4B=0,"May not be valid, no UA for this size.","")</f>
        <v>May not be valid, no UA for this size.</v>
      </c>
      <c r="L103" s="383"/>
      <c r="M103" s="366"/>
      <c r="N103" s="184"/>
      <c r="O103" s="367"/>
      <c r="P103" s="367"/>
      <c r="Q103" s="367"/>
      <c r="R103" s="367"/>
      <c r="S103" s="367"/>
      <c r="T103" s="367"/>
      <c r="U103" s="367"/>
      <c r="V103" s="367"/>
      <c r="W103" s="367"/>
      <c r="X103" s="367"/>
      <c r="Y103" s="367"/>
      <c r="Z103" s="367"/>
      <c r="AA103" s="367"/>
      <c r="AB103" s="367"/>
      <c r="AC103" s="367"/>
      <c r="AD103" s="367"/>
      <c r="AE103" s="367"/>
      <c r="AF103" s="367"/>
      <c r="AG103" s="367"/>
      <c r="AH103" s="367"/>
      <c r="AI103" s="367"/>
      <c r="AJ103" s="367"/>
      <c r="AK103" s="367"/>
      <c r="AL103" s="367"/>
      <c r="AM103" s="367"/>
    </row>
    <row r="104" spans="1:39">
      <c r="A104" s="184"/>
      <c r="B104" s="184"/>
      <c r="C104" s="212"/>
      <c r="D104" s="212"/>
      <c r="E104" s="212"/>
      <c r="F104" s="212"/>
      <c r="G104" s="184"/>
      <c r="H104" s="184"/>
      <c r="I104" s="184"/>
      <c r="J104" s="184"/>
      <c r="K104" s="184"/>
      <c r="L104" s="184"/>
      <c r="M104" s="184"/>
      <c r="N104" s="184"/>
      <c r="O104" s="184"/>
    </row>
    <row r="105" spans="1:39">
      <c r="A105" s="184"/>
      <c r="B105" s="184"/>
      <c r="C105" s="212"/>
      <c r="D105" s="212"/>
      <c r="E105" s="212"/>
      <c r="F105" s="212"/>
      <c r="G105" s="184"/>
      <c r="H105" s="184"/>
      <c r="I105" s="184"/>
      <c r="J105" s="184"/>
      <c r="K105" s="184"/>
      <c r="L105" s="184"/>
      <c r="M105" s="184"/>
      <c r="N105" s="184"/>
      <c r="O105" s="184"/>
    </row>
    <row r="106" spans="1:39">
      <c r="A106" s="184"/>
      <c r="B106" s="184"/>
      <c r="C106" s="212"/>
      <c r="D106" s="212"/>
      <c r="E106" s="212"/>
      <c r="F106" s="212"/>
      <c r="G106" s="184"/>
      <c r="H106" s="184"/>
      <c r="I106" s="184"/>
      <c r="J106" s="184"/>
      <c r="K106" s="184"/>
      <c r="L106" s="184"/>
      <c r="M106" s="184"/>
      <c r="N106" s="184"/>
      <c r="O106" s="184"/>
    </row>
    <row r="107" spans="1:39">
      <c r="A107" s="184"/>
      <c r="B107" s="184"/>
      <c r="C107" s="212"/>
      <c r="D107" s="212"/>
      <c r="E107" s="212"/>
      <c r="F107" s="212"/>
      <c r="G107" s="184"/>
      <c r="H107" s="184"/>
      <c r="I107" s="184"/>
      <c r="J107" s="184"/>
      <c r="K107" s="184"/>
      <c r="L107" s="184"/>
      <c r="M107" s="184"/>
      <c r="N107" s="184"/>
      <c r="O107" s="184"/>
    </row>
    <row r="108" spans="1:39">
      <c r="A108" s="184"/>
      <c r="B108" s="184"/>
      <c r="C108" s="212"/>
      <c r="D108" s="212"/>
      <c r="E108" s="212"/>
      <c r="F108" s="212"/>
      <c r="G108" s="184"/>
      <c r="H108" s="184"/>
      <c r="I108" s="184"/>
      <c r="J108" s="184"/>
      <c r="K108" s="184"/>
      <c r="L108" s="184"/>
      <c r="M108" s="184"/>
      <c r="N108" s="184"/>
      <c r="O108" s="184"/>
    </row>
    <row r="109" spans="1:39">
      <c r="B109" s="184"/>
      <c r="C109" s="212"/>
      <c r="D109" s="212"/>
      <c r="E109" s="212"/>
    </row>
  </sheetData>
  <sheetProtection algorithmName="SHA-512" hashValue="y940r4q6wseQAo4RxRKE+5QfgccKClsH8NWMlh2HI7Zux6gxqbcRUVEM3SIqjUu2X8ojW7gZ1IVFzmLgq0SuPg==" saltValue="AL21ZVzyH3ZFw08QMzBD0A==" spinCount="100000" sheet="1" objects="1" scenarios="1"/>
  <mergeCells count="9">
    <mergeCell ref="B63:G63"/>
    <mergeCell ref="B64:G64"/>
    <mergeCell ref="A2:N2"/>
    <mergeCell ref="A35:B35"/>
    <mergeCell ref="A5:B5"/>
    <mergeCell ref="A45:B45"/>
    <mergeCell ref="A15:B15"/>
    <mergeCell ref="A25:B25"/>
    <mergeCell ref="G3:I3"/>
  </mergeCells>
  <phoneticPr fontId="0" type="noConversion"/>
  <printOptions horizontalCentered="1"/>
  <pageMargins left="0.75" right="0.75" top="1" bottom="1" header="0.5" footer="0.5"/>
  <pageSetup scale="70"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iconSet" priority="5" id="{37F9CCF9-CF4A-4AFA-8006-AF12398A04E1}">
            <x14:iconSet iconSet="3Symbols" custom="1">
              <x14:cfvo type="percent">
                <xm:f>0</xm:f>
              </x14:cfvo>
              <x14:cfvo type="num">
                <xm:f>1</xm:f>
              </x14:cfvo>
              <x14:cfvo type="num">
                <xm:f>3</xm:f>
              </x14:cfvo>
              <x14:cfIcon iconSet="NoIcons" iconId="0"/>
              <x14:cfIcon iconSet="3Symbols" iconId="1"/>
              <x14:cfIcon iconSet="NoIcons" iconId="0"/>
            </x14:iconSet>
          </x14:cfRule>
          <xm:sqref>O6:O12</xm:sqref>
        </x14:conditionalFormatting>
        <x14:conditionalFormatting xmlns:xm="http://schemas.microsoft.com/office/excel/2006/main">
          <x14:cfRule type="iconSet" priority="4" id="{BC7086E4-08EB-4596-805D-63D4E7B3F287}">
            <x14:iconSet iconSet="3Symbols" custom="1">
              <x14:cfvo type="percent">
                <xm:f>0</xm:f>
              </x14:cfvo>
              <x14:cfvo type="num">
                <xm:f>1</xm:f>
              </x14:cfvo>
              <x14:cfvo type="num">
                <xm:f>3</xm:f>
              </x14:cfvo>
              <x14:cfIcon iconSet="NoIcons" iconId="0"/>
              <x14:cfIcon iconSet="3Symbols" iconId="1"/>
              <x14:cfIcon iconSet="NoIcons" iconId="0"/>
            </x14:iconSet>
          </x14:cfRule>
          <xm:sqref>O16:O22</xm:sqref>
        </x14:conditionalFormatting>
        <x14:conditionalFormatting xmlns:xm="http://schemas.microsoft.com/office/excel/2006/main">
          <x14:cfRule type="iconSet" priority="3" id="{DAE6D78F-9AB9-4336-A7CF-C66FA6C8E027}">
            <x14:iconSet iconSet="3Symbols" custom="1">
              <x14:cfvo type="percent">
                <xm:f>0</xm:f>
              </x14:cfvo>
              <x14:cfvo type="num">
                <xm:f>1</xm:f>
              </x14:cfvo>
              <x14:cfvo type="num">
                <xm:f>3</xm:f>
              </x14:cfvo>
              <x14:cfIcon iconSet="NoIcons" iconId="0"/>
              <x14:cfIcon iconSet="3Symbols" iconId="1"/>
              <x14:cfIcon iconSet="NoIcons" iconId="0"/>
            </x14:iconSet>
          </x14:cfRule>
          <xm:sqref>O26:O32</xm:sqref>
        </x14:conditionalFormatting>
        <x14:conditionalFormatting xmlns:xm="http://schemas.microsoft.com/office/excel/2006/main">
          <x14:cfRule type="iconSet" priority="2" id="{0B8FA39A-765F-4136-AB68-7C93A8263B58}">
            <x14:iconSet iconSet="3Symbols" custom="1">
              <x14:cfvo type="percent">
                <xm:f>0</xm:f>
              </x14:cfvo>
              <x14:cfvo type="num">
                <xm:f>1</xm:f>
              </x14:cfvo>
              <x14:cfvo type="num">
                <xm:f>3</xm:f>
              </x14:cfvo>
              <x14:cfIcon iconSet="NoIcons" iconId="0"/>
              <x14:cfIcon iconSet="3Symbols" iconId="1"/>
              <x14:cfIcon iconSet="NoIcons" iconId="0"/>
            </x14:iconSet>
          </x14:cfRule>
          <xm:sqref>O36:O42</xm:sqref>
        </x14:conditionalFormatting>
        <x14:conditionalFormatting xmlns:xm="http://schemas.microsoft.com/office/excel/2006/main">
          <x14:cfRule type="iconSet" priority="1" id="{A29BD378-FAA9-4C77-B37C-B82FD406B9A9}">
            <x14:iconSet iconSet="3Symbols" custom="1">
              <x14:cfvo type="percent">
                <xm:f>0</xm:f>
              </x14:cfvo>
              <x14:cfvo type="num">
                <xm:f>1</xm:f>
              </x14:cfvo>
              <x14:cfvo type="num">
                <xm:f>3</xm:f>
              </x14:cfvo>
              <x14:cfIcon iconSet="NoIcons" iconId="0"/>
              <x14:cfIcon iconSet="3Symbols" iconId="1"/>
              <x14:cfIcon iconSet="NoIcons" iconId="0"/>
            </x14:iconSet>
          </x14:cfRule>
          <xm:sqref>O46:O52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88"/>
  <sheetViews>
    <sheetView showGridLines="0" workbookViewId="0">
      <selection activeCell="G5" sqref="G5:K5"/>
    </sheetView>
  </sheetViews>
  <sheetFormatPr defaultColWidth="8.8203125" defaultRowHeight="12.7"/>
  <cols>
    <col min="1" max="1" width="4" style="47" bestFit="1" customWidth="1"/>
    <col min="2" max="2" width="29.5859375" style="47" customWidth="1"/>
    <col min="3" max="3" width="5" style="47" bestFit="1" customWidth="1"/>
    <col min="4" max="4" width="14.17578125" style="47" customWidth="1"/>
    <col min="5" max="5" width="10.3515625" style="47" bestFit="1" customWidth="1"/>
    <col min="6" max="6" width="14.46875" style="10" bestFit="1" customWidth="1"/>
    <col min="7" max="7" width="24.29296875" style="47" customWidth="1"/>
    <col min="8" max="8" width="4.703125" style="47" customWidth="1"/>
    <col min="9" max="9" width="11.8203125" style="47" customWidth="1"/>
    <col min="10" max="11" width="9.3515625" style="47" bestFit="1" customWidth="1"/>
    <col min="12" max="12" width="8.8203125" style="47"/>
    <col min="13" max="13" width="10.3515625" style="47" bestFit="1" customWidth="1"/>
    <col min="14" max="14" width="10.29296875" style="47" bestFit="1" customWidth="1"/>
    <col min="15" max="16384" width="8.8203125" style="47"/>
  </cols>
  <sheetData>
    <row r="1" spans="2:13" ht="15.7" thickBot="1">
      <c r="B1" s="523" t="s">
        <v>75</v>
      </c>
      <c r="C1" s="524"/>
      <c r="D1" s="524"/>
      <c r="E1" s="524"/>
      <c r="F1" s="524"/>
      <c r="G1" s="524"/>
      <c r="H1" s="525"/>
      <c r="I1" s="525"/>
      <c r="J1" s="525"/>
      <c r="K1" s="526"/>
    </row>
    <row r="2" spans="2:13" s="43" customFormat="1">
      <c r="B2" s="61" t="str">
        <f>"Project: "&amp;Project</f>
        <v xml:space="preserve">Project: </v>
      </c>
      <c r="C2" s="62"/>
      <c r="D2" s="63"/>
      <c r="E2" s="66" t="str">
        <f>"Developer: "&amp;Developer</f>
        <v xml:space="preserve">Developer: </v>
      </c>
      <c r="F2" s="61"/>
      <c r="G2" s="64"/>
      <c r="H2" s="65"/>
      <c r="I2" s="65"/>
      <c r="J2" s="65"/>
      <c r="K2" s="65"/>
    </row>
    <row r="4" spans="2:13" ht="13" thickBot="1">
      <c r="B4" s="7" t="s">
        <v>37</v>
      </c>
      <c r="D4" s="8" t="s">
        <v>31</v>
      </c>
      <c r="E4" s="8" t="s">
        <v>32</v>
      </c>
      <c r="F4" s="9" t="s">
        <v>124</v>
      </c>
      <c r="G4" s="522" t="s">
        <v>107</v>
      </c>
      <c r="H4" s="522"/>
      <c r="I4" s="522"/>
      <c r="J4" s="522"/>
      <c r="K4" s="522"/>
    </row>
    <row r="5" spans="2:13">
      <c r="B5" s="47" t="s">
        <v>20</v>
      </c>
      <c r="D5" s="2">
        <f>'2)Units&amp;Revenue'!I56</f>
        <v>0</v>
      </c>
      <c r="E5" s="2" t="e">
        <f>D5/Units</f>
        <v>#DIV/0!</v>
      </c>
      <c r="G5" s="519"/>
      <c r="H5" s="520"/>
      <c r="I5" s="520"/>
      <c r="J5" s="520"/>
      <c r="K5" s="521"/>
    </row>
    <row r="6" spans="2:13">
      <c r="B6" s="47" t="s">
        <v>21</v>
      </c>
      <c r="D6" s="2">
        <f>'2)Units&amp;Revenue'!I65</f>
        <v>0</v>
      </c>
      <c r="E6" s="2" t="e">
        <f>D6/Units</f>
        <v>#DIV/0!</v>
      </c>
      <c r="G6" s="519"/>
      <c r="H6" s="520"/>
      <c r="I6" s="520"/>
      <c r="J6" s="520"/>
      <c r="K6" s="521"/>
    </row>
    <row r="7" spans="2:13">
      <c r="B7" s="47" t="s">
        <v>10</v>
      </c>
      <c r="D7" s="2">
        <f>D5+D6</f>
        <v>0</v>
      </c>
      <c r="E7" s="2" t="e">
        <f>D7/Units</f>
        <v>#DIV/0!</v>
      </c>
      <c r="G7" s="519"/>
      <c r="H7" s="520"/>
      <c r="I7" s="520"/>
      <c r="J7" s="520"/>
      <c r="K7" s="521"/>
    </row>
    <row r="8" spans="2:13">
      <c r="B8" s="47" t="s">
        <v>22</v>
      </c>
      <c r="C8" s="401">
        <v>7.4999999999999997E-2</v>
      </c>
      <c r="D8" s="3">
        <f>D7*C8</f>
        <v>0</v>
      </c>
      <c r="E8" s="3" t="e">
        <f>D8/Units</f>
        <v>#DIV/0!</v>
      </c>
      <c r="G8" s="519" t="s">
        <v>365</v>
      </c>
      <c r="H8" s="520"/>
      <c r="I8" s="520"/>
      <c r="J8" s="520"/>
      <c r="K8" s="521"/>
    </row>
    <row r="9" spans="2:13">
      <c r="B9" s="1" t="s">
        <v>23</v>
      </c>
      <c r="D9" s="11">
        <f>D7-D8</f>
        <v>0</v>
      </c>
      <c r="E9" s="11" t="e">
        <f>D9/Units</f>
        <v>#DIV/0!</v>
      </c>
      <c r="F9" s="12" t="e">
        <f>D9/$D$9</f>
        <v>#DIV/0!</v>
      </c>
    </row>
    <row r="11" spans="2:13" ht="13" thickBot="1">
      <c r="B11" s="7" t="s">
        <v>38</v>
      </c>
    </row>
    <row r="13" spans="2:13">
      <c r="B13" s="1" t="s">
        <v>181</v>
      </c>
      <c r="D13" s="8" t="s">
        <v>31</v>
      </c>
      <c r="E13" s="8" t="s">
        <v>32</v>
      </c>
      <c r="F13" s="9" t="s">
        <v>124</v>
      </c>
      <c r="G13" s="522" t="s">
        <v>107</v>
      </c>
      <c r="H13" s="522"/>
      <c r="I13" s="522"/>
      <c r="J13" s="522"/>
      <c r="K13" s="522"/>
      <c r="L13" s="4"/>
    </row>
    <row r="14" spans="2:13">
      <c r="B14" s="4" t="s">
        <v>26</v>
      </c>
      <c r="C14" s="13"/>
      <c r="D14" s="49"/>
      <c r="E14" s="2" t="e">
        <f>D14/Units</f>
        <v>#DIV/0!</v>
      </c>
      <c r="G14" s="519"/>
      <c r="H14" s="520"/>
      <c r="I14" s="520"/>
      <c r="J14" s="520"/>
      <c r="K14" s="521"/>
      <c r="L14" s="2"/>
      <c r="M14" s="2"/>
    </row>
    <row r="15" spans="2:13">
      <c r="B15" s="4" t="s">
        <v>24</v>
      </c>
      <c r="D15" s="49"/>
      <c r="E15" s="2" t="e">
        <f t="shared" ref="E15:E23" si="0">D15/Units</f>
        <v>#DIV/0!</v>
      </c>
      <c r="G15" s="519"/>
      <c r="H15" s="520"/>
      <c r="I15" s="520"/>
      <c r="J15" s="520"/>
      <c r="K15" s="521"/>
      <c r="L15" s="2"/>
      <c r="M15" s="2"/>
    </row>
    <row r="16" spans="2:13">
      <c r="B16" s="4" t="s">
        <v>25</v>
      </c>
      <c r="C16" s="13"/>
      <c r="D16" s="49"/>
      <c r="E16" s="2" t="e">
        <f t="shared" si="0"/>
        <v>#DIV/0!</v>
      </c>
      <c r="G16" s="519"/>
      <c r="H16" s="520"/>
      <c r="I16" s="520"/>
      <c r="J16" s="520"/>
      <c r="K16" s="521"/>
      <c r="L16" s="2"/>
      <c r="M16" s="2"/>
    </row>
    <row r="17" spans="2:14">
      <c r="B17" s="4" t="s">
        <v>182</v>
      </c>
      <c r="C17" s="13"/>
      <c r="D17" s="49"/>
      <c r="E17" s="2" t="e">
        <f t="shared" si="0"/>
        <v>#DIV/0!</v>
      </c>
      <c r="G17" s="519"/>
      <c r="H17" s="520"/>
      <c r="I17" s="520"/>
      <c r="J17" s="520"/>
      <c r="K17" s="521"/>
      <c r="L17" s="2"/>
      <c r="M17" s="2"/>
    </row>
    <row r="18" spans="2:14">
      <c r="B18" s="4" t="s">
        <v>183</v>
      </c>
      <c r="D18" s="49"/>
      <c r="E18" s="2" t="e">
        <f t="shared" si="0"/>
        <v>#DIV/0!</v>
      </c>
      <c r="G18" s="519"/>
      <c r="H18" s="520"/>
      <c r="I18" s="520"/>
      <c r="J18" s="520"/>
      <c r="K18" s="521"/>
      <c r="L18" s="2"/>
      <c r="M18" s="2"/>
    </row>
    <row r="19" spans="2:14">
      <c r="B19" s="4" t="s">
        <v>157</v>
      </c>
      <c r="D19" s="49"/>
      <c r="E19" s="2" t="e">
        <f t="shared" si="0"/>
        <v>#DIV/0!</v>
      </c>
      <c r="G19" s="519"/>
      <c r="H19" s="520"/>
      <c r="I19" s="520"/>
      <c r="J19" s="520"/>
      <c r="K19" s="521"/>
      <c r="L19" s="2"/>
      <c r="M19" s="2"/>
    </row>
    <row r="20" spans="2:14">
      <c r="B20" s="51" t="s">
        <v>144</v>
      </c>
      <c r="D20" s="49"/>
      <c r="E20" s="2" t="e">
        <f t="shared" si="0"/>
        <v>#DIV/0!</v>
      </c>
      <c r="G20" s="519"/>
      <c r="H20" s="520"/>
      <c r="I20" s="520"/>
      <c r="J20" s="520"/>
      <c r="K20" s="521"/>
      <c r="L20" s="2"/>
      <c r="M20" s="2"/>
    </row>
    <row r="21" spans="2:14">
      <c r="B21" s="51" t="s">
        <v>144</v>
      </c>
      <c r="D21" s="49"/>
      <c r="E21" s="2" t="e">
        <f t="shared" si="0"/>
        <v>#DIV/0!</v>
      </c>
      <c r="G21" s="519"/>
      <c r="H21" s="520"/>
      <c r="I21" s="520"/>
      <c r="J21" s="520"/>
      <c r="K21" s="521"/>
      <c r="L21" s="2"/>
      <c r="M21" s="2"/>
    </row>
    <row r="22" spans="2:14">
      <c r="B22" s="52" t="s">
        <v>144</v>
      </c>
      <c r="C22" s="5"/>
      <c r="D22" s="50"/>
      <c r="E22" s="3" t="e">
        <f t="shared" si="0"/>
        <v>#DIV/0!</v>
      </c>
      <c r="F22" s="14"/>
      <c r="G22" s="519"/>
      <c r="H22" s="520"/>
      <c r="I22" s="520"/>
      <c r="J22" s="520"/>
      <c r="K22" s="521"/>
      <c r="L22" s="2"/>
      <c r="M22" s="2"/>
    </row>
    <row r="23" spans="2:14">
      <c r="B23" s="1" t="s">
        <v>10</v>
      </c>
      <c r="D23" s="11">
        <f>SUM(D14:D22)</f>
        <v>0</v>
      </c>
      <c r="E23" s="11" t="e">
        <f t="shared" si="0"/>
        <v>#DIV/0!</v>
      </c>
      <c r="F23" s="12" t="e">
        <f>D23/$D$9</f>
        <v>#DIV/0!</v>
      </c>
      <c r="L23" s="2"/>
      <c r="M23" s="2"/>
      <c r="N23" s="2"/>
    </row>
    <row r="24" spans="2:14">
      <c r="B24" s="1"/>
      <c r="D24" s="11"/>
      <c r="E24" s="11"/>
      <c r="F24" s="12"/>
      <c r="L24" s="2"/>
      <c r="M24" s="2"/>
    </row>
    <row r="25" spans="2:14">
      <c r="B25" s="1" t="s">
        <v>137</v>
      </c>
      <c r="C25" s="13"/>
      <c r="D25" s="11">
        <f>F25*D9</f>
        <v>0</v>
      </c>
      <c r="E25" s="11" t="e">
        <f>D25/Units</f>
        <v>#DIV/0!</v>
      </c>
      <c r="F25" s="73">
        <v>0.05</v>
      </c>
      <c r="G25" s="519" t="s">
        <v>366</v>
      </c>
      <c r="H25" s="520"/>
      <c r="I25" s="520"/>
      <c r="J25" s="520"/>
      <c r="K25" s="521"/>
      <c r="L25" s="2"/>
      <c r="M25" s="2"/>
      <c r="N25" s="2"/>
    </row>
    <row r="26" spans="2:14">
      <c r="L26" s="2"/>
      <c r="M26" s="2"/>
    </row>
    <row r="27" spans="2:14">
      <c r="B27" s="1" t="s">
        <v>184</v>
      </c>
      <c r="D27" s="8" t="s">
        <v>31</v>
      </c>
      <c r="E27" s="8" t="s">
        <v>32</v>
      </c>
      <c r="F27" s="9" t="s">
        <v>124</v>
      </c>
      <c r="G27" s="522" t="s">
        <v>107</v>
      </c>
      <c r="H27" s="522"/>
      <c r="I27" s="522"/>
      <c r="J27" s="522"/>
      <c r="K27" s="522"/>
      <c r="L27" s="2"/>
      <c r="M27" s="2"/>
    </row>
    <row r="28" spans="2:14">
      <c r="B28" s="4" t="s">
        <v>185</v>
      </c>
      <c r="D28" s="49"/>
      <c r="E28" s="2" t="e">
        <f t="shared" ref="E28:E32" si="1">D28/Units</f>
        <v>#DIV/0!</v>
      </c>
      <c r="G28" s="519"/>
      <c r="H28" s="520"/>
      <c r="I28" s="520"/>
      <c r="J28" s="520"/>
      <c r="K28" s="521"/>
      <c r="L28" s="2"/>
      <c r="M28" s="2"/>
    </row>
    <row r="29" spans="2:14">
      <c r="B29" s="4" t="s">
        <v>186</v>
      </c>
      <c r="D29" s="49"/>
      <c r="E29" s="2" t="e">
        <f t="shared" si="1"/>
        <v>#DIV/0!</v>
      </c>
      <c r="G29" s="519"/>
      <c r="H29" s="520"/>
      <c r="I29" s="520"/>
      <c r="J29" s="520"/>
      <c r="K29" s="521"/>
      <c r="L29" s="2"/>
      <c r="M29" s="2"/>
    </row>
    <row r="30" spans="2:14">
      <c r="B30" s="51" t="s">
        <v>138</v>
      </c>
      <c r="D30" s="49"/>
      <c r="E30" s="2" t="e">
        <f t="shared" si="1"/>
        <v>#DIV/0!</v>
      </c>
      <c r="G30" s="519"/>
      <c r="H30" s="520"/>
      <c r="I30" s="520"/>
      <c r="J30" s="520"/>
      <c r="K30" s="521"/>
      <c r="L30" s="2"/>
      <c r="M30" s="2"/>
    </row>
    <row r="31" spans="2:14">
      <c r="B31" s="52" t="s">
        <v>144</v>
      </c>
      <c r="C31" s="5"/>
      <c r="D31" s="50"/>
      <c r="E31" s="3" t="e">
        <f t="shared" si="1"/>
        <v>#DIV/0!</v>
      </c>
      <c r="F31" s="14"/>
      <c r="G31" s="519"/>
      <c r="H31" s="520"/>
      <c r="I31" s="520"/>
      <c r="J31" s="520"/>
      <c r="K31" s="521"/>
      <c r="L31" s="2"/>
      <c r="M31" s="2"/>
    </row>
    <row r="32" spans="2:14">
      <c r="B32" s="1" t="s">
        <v>10</v>
      </c>
      <c r="D32" s="11">
        <f>SUM(D28:D31)</f>
        <v>0</v>
      </c>
      <c r="E32" s="11" t="e">
        <f t="shared" si="1"/>
        <v>#DIV/0!</v>
      </c>
      <c r="F32" s="15" t="e">
        <f>D32/$D$9</f>
        <v>#DIV/0!</v>
      </c>
      <c r="L32" s="2"/>
      <c r="M32" s="2"/>
      <c r="N32" s="2"/>
    </row>
    <row r="33" spans="2:14">
      <c r="B33" s="1"/>
      <c r="D33" s="8"/>
      <c r="E33" s="8"/>
      <c r="F33" s="9"/>
      <c r="L33" s="2"/>
      <c r="M33" s="2"/>
    </row>
    <row r="34" spans="2:14">
      <c r="B34" s="1" t="s">
        <v>190</v>
      </c>
      <c r="D34" s="8"/>
      <c r="E34" s="8"/>
      <c r="F34" s="9"/>
      <c r="G34" s="522" t="s">
        <v>107</v>
      </c>
      <c r="H34" s="522"/>
      <c r="I34" s="522"/>
      <c r="J34" s="522"/>
      <c r="K34" s="522"/>
      <c r="L34" s="2"/>
      <c r="M34" s="2"/>
    </row>
    <row r="35" spans="2:14">
      <c r="B35" s="4" t="s">
        <v>348</v>
      </c>
      <c r="D35" s="49"/>
      <c r="E35" s="2" t="e">
        <f t="shared" ref="E35:E44" si="2">D35/Units</f>
        <v>#DIV/0!</v>
      </c>
      <c r="G35" s="519"/>
      <c r="H35" s="520"/>
      <c r="I35" s="520"/>
      <c r="J35" s="520"/>
      <c r="K35" s="521"/>
      <c r="L35" s="2"/>
      <c r="M35" s="2"/>
    </row>
    <row r="36" spans="2:14">
      <c r="B36" s="4" t="s">
        <v>349</v>
      </c>
      <c r="D36" s="49"/>
      <c r="E36" s="2" t="e">
        <f t="shared" si="2"/>
        <v>#DIV/0!</v>
      </c>
      <c r="G36" s="519"/>
      <c r="H36" s="520"/>
      <c r="I36" s="520"/>
      <c r="J36" s="520"/>
      <c r="K36" s="521"/>
      <c r="L36" s="2"/>
      <c r="M36" s="2"/>
    </row>
    <row r="37" spans="2:14">
      <c r="B37" s="4" t="s">
        <v>159</v>
      </c>
      <c r="D37" s="49"/>
      <c r="E37" s="2" t="e">
        <f t="shared" si="2"/>
        <v>#DIV/0!</v>
      </c>
      <c r="G37" s="519"/>
      <c r="H37" s="520"/>
      <c r="I37" s="520"/>
      <c r="J37" s="520"/>
      <c r="K37" s="521"/>
      <c r="L37" s="2"/>
      <c r="M37" s="2"/>
    </row>
    <row r="38" spans="2:14">
      <c r="B38" s="4" t="s">
        <v>263</v>
      </c>
      <c r="D38" s="49"/>
      <c r="E38" s="2" t="e">
        <f t="shared" si="2"/>
        <v>#DIV/0!</v>
      </c>
      <c r="G38" s="519"/>
      <c r="H38" s="520"/>
      <c r="I38" s="520"/>
      <c r="J38" s="520"/>
      <c r="K38" s="521"/>
      <c r="L38" s="2"/>
      <c r="M38" s="2"/>
    </row>
    <row r="39" spans="2:14">
      <c r="B39" s="4" t="s">
        <v>190</v>
      </c>
      <c r="D39" s="49"/>
      <c r="E39" s="2" t="e">
        <f t="shared" si="2"/>
        <v>#DIV/0!</v>
      </c>
      <c r="G39" s="519"/>
      <c r="H39" s="520"/>
      <c r="I39" s="520"/>
      <c r="J39" s="520"/>
      <c r="K39" s="521"/>
      <c r="L39" s="2"/>
      <c r="M39" s="2"/>
    </row>
    <row r="40" spans="2:14">
      <c r="B40" s="4" t="s">
        <v>191</v>
      </c>
      <c r="D40" s="49"/>
      <c r="E40" s="2" t="e">
        <f t="shared" si="2"/>
        <v>#DIV/0!</v>
      </c>
      <c r="G40" s="519"/>
      <c r="H40" s="520"/>
      <c r="I40" s="520"/>
      <c r="J40" s="520"/>
      <c r="K40" s="521"/>
      <c r="L40" s="2"/>
      <c r="M40" s="2"/>
    </row>
    <row r="41" spans="2:14">
      <c r="B41" s="51" t="s">
        <v>138</v>
      </c>
      <c r="D41" s="49"/>
      <c r="E41" s="2" t="e">
        <f t="shared" si="2"/>
        <v>#DIV/0!</v>
      </c>
      <c r="G41" s="519"/>
      <c r="H41" s="520"/>
      <c r="I41" s="520"/>
      <c r="J41" s="520"/>
      <c r="K41" s="521"/>
      <c r="L41" s="2"/>
      <c r="M41" s="2"/>
    </row>
    <row r="42" spans="2:14">
      <c r="B42" s="51" t="s">
        <v>144</v>
      </c>
      <c r="D42" s="49"/>
      <c r="E42" s="2" t="e">
        <f t="shared" si="2"/>
        <v>#DIV/0!</v>
      </c>
      <c r="G42" s="519"/>
      <c r="H42" s="520"/>
      <c r="I42" s="520"/>
      <c r="J42" s="520"/>
      <c r="K42" s="521"/>
      <c r="L42" s="2"/>
      <c r="M42" s="2"/>
    </row>
    <row r="43" spans="2:14">
      <c r="B43" s="52" t="s">
        <v>144</v>
      </c>
      <c r="C43" s="5"/>
      <c r="D43" s="50"/>
      <c r="E43" s="3" t="e">
        <f t="shared" si="2"/>
        <v>#DIV/0!</v>
      </c>
      <c r="F43" s="14"/>
      <c r="G43" s="519"/>
      <c r="H43" s="520"/>
      <c r="I43" s="520"/>
      <c r="J43" s="520"/>
      <c r="K43" s="521"/>
      <c r="L43" s="2"/>
      <c r="M43" s="2"/>
    </row>
    <row r="44" spans="2:14">
      <c r="B44" s="1" t="s">
        <v>10</v>
      </c>
      <c r="D44" s="11">
        <f>SUM(D35:D43)</f>
        <v>0</v>
      </c>
      <c r="E44" s="11" t="e">
        <f t="shared" si="2"/>
        <v>#DIV/0!</v>
      </c>
      <c r="F44" s="15" t="e">
        <f>D44/$D$9</f>
        <v>#DIV/0!</v>
      </c>
      <c r="L44" s="2"/>
      <c r="M44" s="2"/>
      <c r="N44" s="2"/>
    </row>
    <row r="45" spans="2:14">
      <c r="B45" s="1"/>
      <c r="D45" s="8"/>
      <c r="E45" s="8"/>
      <c r="F45" s="9"/>
      <c r="L45" s="2"/>
      <c r="M45" s="2"/>
    </row>
    <row r="46" spans="2:14">
      <c r="B46" s="1" t="s">
        <v>168</v>
      </c>
      <c r="D46" s="8" t="s">
        <v>31</v>
      </c>
      <c r="E46" s="8" t="s">
        <v>32</v>
      </c>
      <c r="F46" s="9" t="s">
        <v>124</v>
      </c>
      <c r="G46" s="522" t="s">
        <v>107</v>
      </c>
      <c r="H46" s="522"/>
      <c r="I46" s="522"/>
      <c r="J46" s="522"/>
      <c r="K46" s="522"/>
      <c r="L46" s="2"/>
      <c r="M46" s="2"/>
    </row>
    <row r="47" spans="2:14">
      <c r="B47" s="47" t="s">
        <v>27</v>
      </c>
      <c r="D47" s="49"/>
      <c r="E47" s="2" t="e">
        <f t="shared" ref="E47:E53" si="3">D47/Units</f>
        <v>#DIV/0!</v>
      </c>
      <c r="G47" s="519"/>
      <c r="H47" s="520"/>
      <c r="I47" s="520"/>
      <c r="J47" s="520"/>
      <c r="K47" s="521"/>
      <c r="L47" s="2"/>
      <c r="M47" s="2"/>
    </row>
    <row r="48" spans="2:14">
      <c r="B48" s="4" t="s">
        <v>160</v>
      </c>
      <c r="D48" s="49"/>
      <c r="E48" s="2" t="e">
        <f t="shared" si="3"/>
        <v>#DIV/0!</v>
      </c>
      <c r="G48" s="519"/>
      <c r="H48" s="520"/>
      <c r="I48" s="520"/>
      <c r="J48" s="520"/>
      <c r="K48" s="521"/>
      <c r="L48" s="2"/>
      <c r="M48" s="2"/>
    </row>
    <row r="49" spans="2:14">
      <c r="B49" s="4" t="s">
        <v>187</v>
      </c>
      <c r="D49" s="49"/>
      <c r="E49" s="2" t="e">
        <f t="shared" ref="E49" si="4">D49/Units</f>
        <v>#DIV/0!</v>
      </c>
      <c r="G49" s="519"/>
      <c r="H49" s="520"/>
      <c r="I49" s="520"/>
      <c r="J49" s="520"/>
      <c r="K49" s="521"/>
      <c r="L49" s="2"/>
      <c r="M49" s="2"/>
    </row>
    <row r="50" spans="2:14">
      <c r="B50" s="47" t="s">
        <v>28</v>
      </c>
      <c r="D50" s="49"/>
      <c r="E50" s="2" t="e">
        <f t="shared" si="3"/>
        <v>#DIV/0!</v>
      </c>
      <c r="G50" s="519"/>
      <c r="H50" s="520"/>
      <c r="I50" s="520"/>
      <c r="J50" s="520"/>
      <c r="K50" s="521"/>
      <c r="L50" s="2"/>
      <c r="M50" s="2"/>
    </row>
    <row r="51" spans="2:14">
      <c r="B51" s="51" t="s">
        <v>138</v>
      </c>
      <c r="D51" s="49"/>
      <c r="E51" s="2" t="e">
        <f t="shared" si="3"/>
        <v>#DIV/0!</v>
      </c>
      <c r="G51" s="519"/>
      <c r="H51" s="520"/>
      <c r="I51" s="520"/>
      <c r="J51" s="520"/>
      <c r="K51" s="521"/>
      <c r="L51" s="2"/>
      <c r="M51" s="2"/>
    </row>
    <row r="52" spans="2:14">
      <c r="B52" s="53" t="s">
        <v>138</v>
      </c>
      <c r="C52" s="5"/>
      <c r="D52" s="50"/>
      <c r="E52" s="3" t="e">
        <f t="shared" si="3"/>
        <v>#DIV/0!</v>
      </c>
      <c r="F52" s="14"/>
      <c r="G52" s="519"/>
      <c r="H52" s="520"/>
      <c r="I52" s="520"/>
      <c r="J52" s="520"/>
      <c r="K52" s="521"/>
      <c r="L52" s="2"/>
      <c r="M52" s="2"/>
    </row>
    <row r="53" spans="2:14">
      <c r="B53" s="1" t="s">
        <v>10</v>
      </c>
      <c r="D53" s="11">
        <f>SUM(D47:D52)</f>
        <v>0</v>
      </c>
      <c r="E53" s="11" t="e">
        <f t="shared" si="3"/>
        <v>#DIV/0!</v>
      </c>
      <c r="F53" s="15" t="e">
        <f>D53/$D$9</f>
        <v>#DIV/0!</v>
      </c>
      <c r="L53" s="2"/>
      <c r="M53" s="2"/>
      <c r="N53" s="2"/>
    </row>
    <row r="54" spans="2:14">
      <c r="B54" s="1"/>
      <c r="D54" s="11"/>
      <c r="E54" s="11"/>
      <c r="F54" s="12"/>
      <c r="G54" s="522" t="s">
        <v>107</v>
      </c>
      <c r="H54" s="522"/>
      <c r="I54" s="522"/>
      <c r="J54" s="522"/>
      <c r="K54" s="522"/>
      <c r="L54" s="2"/>
      <c r="M54" s="2"/>
    </row>
    <row r="55" spans="2:14">
      <c r="B55" s="19" t="s">
        <v>29</v>
      </c>
      <c r="C55" s="5"/>
      <c r="D55" s="50"/>
      <c r="E55" s="3" t="e">
        <f>D55/Units</f>
        <v>#DIV/0!</v>
      </c>
      <c r="F55" s="20" t="e">
        <f>D55/$D$9</f>
        <v>#DIV/0!</v>
      </c>
      <c r="G55" s="519"/>
      <c r="H55" s="520"/>
      <c r="I55" s="520"/>
      <c r="J55" s="520"/>
      <c r="K55" s="521"/>
      <c r="L55" s="2"/>
      <c r="M55" s="2"/>
      <c r="N55" s="2"/>
    </row>
    <row r="56" spans="2:14">
      <c r="B56" s="1"/>
      <c r="D56" s="11"/>
      <c r="E56" s="11"/>
      <c r="F56" s="12"/>
      <c r="L56" s="2"/>
      <c r="M56" s="2"/>
    </row>
    <row r="57" spans="2:14">
      <c r="B57" s="19" t="s">
        <v>188</v>
      </c>
      <c r="C57" s="5"/>
      <c r="D57" s="54">
        <v>0</v>
      </c>
      <c r="E57" s="3" t="e">
        <f>D57/Units</f>
        <v>#DIV/0!</v>
      </c>
      <c r="F57" s="20" t="e">
        <f>D57/$D$9</f>
        <v>#DIV/0!</v>
      </c>
      <c r="G57" s="519"/>
      <c r="H57" s="520"/>
      <c r="I57" s="520"/>
      <c r="J57" s="520"/>
      <c r="K57" s="521"/>
      <c r="L57" s="2"/>
      <c r="M57" s="2"/>
    </row>
    <row r="58" spans="2:14">
      <c r="B58" s="1"/>
      <c r="D58" s="11"/>
      <c r="E58" s="11"/>
      <c r="F58" s="12"/>
      <c r="L58" s="2"/>
      <c r="M58" s="2"/>
    </row>
    <row r="59" spans="2:14">
      <c r="B59" s="19" t="s">
        <v>30</v>
      </c>
      <c r="C59" s="5"/>
      <c r="D59" s="21">
        <f>E59*Units</f>
        <v>0</v>
      </c>
      <c r="E59" s="50">
        <v>300</v>
      </c>
      <c r="F59" s="20" t="e">
        <f>D59/$D$9</f>
        <v>#DIV/0!</v>
      </c>
      <c r="G59" s="519" t="s">
        <v>367</v>
      </c>
      <c r="H59" s="520"/>
      <c r="I59" s="520"/>
      <c r="J59" s="520"/>
      <c r="K59" s="521"/>
      <c r="L59" s="2"/>
      <c r="M59" s="2"/>
      <c r="N59" s="2"/>
    </row>
    <row r="60" spans="2:14">
      <c r="B60" s="1"/>
      <c r="D60" s="11"/>
      <c r="E60" s="11"/>
      <c r="F60" s="12"/>
      <c r="L60" s="2"/>
      <c r="M60" s="2"/>
    </row>
    <row r="61" spans="2:14">
      <c r="B61" s="1" t="s">
        <v>189</v>
      </c>
      <c r="D61" s="11"/>
      <c r="E61" s="11"/>
      <c r="F61" s="12"/>
      <c r="G61" s="522" t="s">
        <v>107</v>
      </c>
      <c r="H61" s="522"/>
      <c r="I61" s="522"/>
      <c r="J61" s="522"/>
      <c r="K61" s="522"/>
      <c r="L61" s="2"/>
      <c r="M61" s="2"/>
    </row>
    <row r="62" spans="2:14">
      <c r="B62" s="4" t="s">
        <v>350</v>
      </c>
      <c r="D62" s="49"/>
      <c r="E62" s="2" t="e">
        <f t="shared" ref="E62:E72" si="5">D62/Units</f>
        <v>#DIV/0!</v>
      </c>
      <c r="G62" s="519"/>
      <c r="H62" s="520"/>
      <c r="I62" s="520"/>
      <c r="J62" s="520"/>
      <c r="K62" s="521"/>
      <c r="L62" s="2"/>
      <c r="M62" s="2"/>
    </row>
    <row r="63" spans="2:14">
      <c r="B63" s="4" t="s">
        <v>264</v>
      </c>
      <c r="D63" s="49"/>
      <c r="E63" s="2" t="e">
        <f t="shared" si="5"/>
        <v>#DIV/0!</v>
      </c>
      <c r="G63" s="519"/>
      <c r="H63" s="520"/>
      <c r="I63" s="520"/>
      <c r="J63" s="520"/>
      <c r="K63" s="521"/>
      <c r="L63" s="2"/>
      <c r="M63" s="2"/>
    </row>
    <row r="64" spans="2:14">
      <c r="B64" s="4" t="s">
        <v>351</v>
      </c>
      <c r="D64" s="49"/>
      <c r="E64" s="2" t="e">
        <f t="shared" si="5"/>
        <v>#DIV/0!</v>
      </c>
      <c r="G64" s="519"/>
      <c r="H64" s="520"/>
      <c r="I64" s="520"/>
      <c r="J64" s="520"/>
      <c r="K64" s="521"/>
      <c r="L64" s="2"/>
      <c r="M64" s="2"/>
    </row>
    <row r="65" spans="2:14">
      <c r="B65" s="4" t="s">
        <v>352</v>
      </c>
      <c r="D65" s="49"/>
      <c r="E65" s="2" t="e">
        <f t="shared" si="5"/>
        <v>#DIV/0!</v>
      </c>
      <c r="G65" s="519"/>
      <c r="H65" s="520"/>
      <c r="I65" s="520"/>
      <c r="J65" s="520"/>
      <c r="K65" s="521"/>
      <c r="L65" s="2"/>
      <c r="M65" s="2"/>
    </row>
    <row r="66" spans="2:14">
      <c r="B66" s="4" t="s">
        <v>158</v>
      </c>
      <c r="D66" s="49"/>
      <c r="E66" s="2" t="e">
        <f t="shared" si="5"/>
        <v>#DIV/0!</v>
      </c>
      <c r="G66" s="519"/>
      <c r="H66" s="520"/>
      <c r="I66" s="520"/>
      <c r="J66" s="520"/>
      <c r="K66" s="521"/>
      <c r="L66" s="2"/>
      <c r="M66" s="2"/>
    </row>
    <row r="67" spans="2:14">
      <c r="B67" s="4" t="s">
        <v>353</v>
      </c>
      <c r="D67" s="399">
        <v>3000</v>
      </c>
      <c r="E67" s="2" t="e">
        <f t="shared" ref="E67:E68" si="6">D67/Units</f>
        <v>#DIV/0!</v>
      </c>
      <c r="G67" s="519"/>
      <c r="H67" s="520"/>
      <c r="I67" s="520"/>
      <c r="J67" s="520"/>
      <c r="K67" s="521"/>
      <c r="L67" s="2"/>
      <c r="M67" s="2"/>
    </row>
    <row r="68" spans="2:14">
      <c r="B68" s="51" t="s">
        <v>144</v>
      </c>
      <c r="D68" s="49"/>
      <c r="E68" s="2" t="e">
        <f t="shared" si="6"/>
        <v>#DIV/0!</v>
      </c>
      <c r="G68" s="519"/>
      <c r="H68" s="520"/>
      <c r="I68" s="520"/>
      <c r="J68" s="520"/>
      <c r="K68" s="521"/>
      <c r="L68" s="2"/>
      <c r="M68" s="2"/>
    </row>
    <row r="69" spans="2:14">
      <c r="B69" s="51" t="s">
        <v>144</v>
      </c>
      <c r="D69" s="49"/>
      <c r="E69" s="2" t="e">
        <f t="shared" si="5"/>
        <v>#DIV/0!</v>
      </c>
      <c r="G69" s="519"/>
      <c r="H69" s="520"/>
      <c r="I69" s="520"/>
      <c r="J69" s="520"/>
      <c r="K69" s="521"/>
      <c r="L69" s="2"/>
      <c r="M69" s="2"/>
    </row>
    <row r="70" spans="2:14">
      <c r="B70" s="51" t="s">
        <v>144</v>
      </c>
      <c r="D70" s="49"/>
      <c r="E70" s="2" t="e">
        <f t="shared" si="5"/>
        <v>#DIV/0!</v>
      </c>
      <c r="G70" s="519"/>
      <c r="H70" s="520"/>
      <c r="I70" s="520"/>
      <c r="J70" s="520"/>
      <c r="K70" s="521"/>
      <c r="L70" s="2"/>
      <c r="M70" s="2"/>
    </row>
    <row r="71" spans="2:14">
      <c r="B71" s="52" t="s">
        <v>144</v>
      </c>
      <c r="C71" s="5"/>
      <c r="D71" s="50"/>
      <c r="E71" s="3" t="e">
        <f t="shared" si="5"/>
        <v>#DIV/0!</v>
      </c>
      <c r="F71" s="14"/>
      <c r="G71" s="519"/>
      <c r="H71" s="520"/>
      <c r="I71" s="520"/>
      <c r="J71" s="520"/>
      <c r="K71" s="521"/>
      <c r="L71" s="2"/>
      <c r="M71" s="2"/>
    </row>
    <row r="72" spans="2:14">
      <c r="B72" s="1" t="s">
        <v>10</v>
      </c>
      <c r="D72" s="11">
        <f>SUM(D62:D71)</f>
        <v>3000</v>
      </c>
      <c r="E72" s="11" t="e">
        <f t="shared" si="5"/>
        <v>#DIV/0!</v>
      </c>
      <c r="F72" s="12" t="e">
        <f>D72/$D$9</f>
        <v>#DIV/0!</v>
      </c>
      <c r="L72" s="2"/>
      <c r="M72" s="2"/>
      <c r="N72" s="2"/>
    </row>
    <row r="73" spans="2:14">
      <c r="L73" s="2"/>
      <c r="M73" s="2"/>
    </row>
    <row r="74" spans="2:14">
      <c r="B74" s="1" t="s">
        <v>42</v>
      </c>
      <c r="D74" s="11">
        <f>D23+D25+D32+D44+D53+D55+D57+D59+D72</f>
        <v>3000</v>
      </c>
      <c r="E74" s="11" t="e">
        <f>D74/Units</f>
        <v>#DIV/0!</v>
      </c>
      <c r="F74" s="15" t="e">
        <f>D74/$D$9</f>
        <v>#DIV/0!</v>
      </c>
      <c r="G74" s="16"/>
      <c r="L74" s="2"/>
      <c r="M74" s="11"/>
    </row>
    <row r="75" spans="2:14">
      <c r="D75" s="2"/>
      <c r="E75" s="2"/>
      <c r="G75" s="16"/>
    </row>
    <row r="76" spans="2:14">
      <c r="B76" s="1" t="s">
        <v>34</v>
      </c>
      <c r="D76" s="11">
        <f>D9-D74</f>
        <v>-3000</v>
      </c>
      <c r="E76" s="11" t="e">
        <f>E9-E74</f>
        <v>#DIV/0!</v>
      </c>
      <c r="F76" s="15" t="e">
        <f>D76/$D$9</f>
        <v>#DIV/0!</v>
      </c>
    </row>
    <row r="78" spans="2:14" ht="13" thickBot="1">
      <c r="B78" s="7" t="s">
        <v>43</v>
      </c>
      <c r="D78" s="8" t="s">
        <v>31</v>
      </c>
      <c r="E78" s="8" t="s">
        <v>32</v>
      </c>
      <c r="F78" s="9" t="s">
        <v>124</v>
      </c>
      <c r="G78" s="522" t="s">
        <v>107</v>
      </c>
      <c r="H78" s="522"/>
      <c r="I78" s="522"/>
      <c r="J78" s="522"/>
      <c r="K78" s="522"/>
    </row>
    <row r="79" spans="2:14">
      <c r="B79" s="47" t="s">
        <v>44</v>
      </c>
      <c r="D79" s="55">
        <v>1.1499999999999999</v>
      </c>
      <c r="G79" s="519" t="s">
        <v>368</v>
      </c>
      <c r="H79" s="520"/>
      <c r="I79" s="520"/>
      <c r="J79" s="520"/>
      <c r="K79" s="521"/>
    </row>
    <row r="80" spans="2:14">
      <c r="B80" s="17" t="s">
        <v>45</v>
      </c>
      <c r="D80" s="2">
        <f>MAX(0,D76/D79)</f>
        <v>0</v>
      </c>
    </row>
    <row r="81" spans="2:11">
      <c r="B81" s="17" t="s">
        <v>46</v>
      </c>
      <c r="D81" s="56">
        <v>30</v>
      </c>
      <c r="G81" s="519"/>
      <c r="H81" s="520"/>
      <c r="I81" s="520"/>
      <c r="J81" s="520"/>
      <c r="K81" s="521"/>
    </row>
    <row r="82" spans="2:11">
      <c r="B82" s="17" t="s">
        <v>47</v>
      </c>
      <c r="D82" s="57"/>
      <c r="G82" s="519"/>
      <c r="H82" s="520"/>
      <c r="I82" s="520"/>
      <c r="J82" s="520"/>
      <c r="K82" s="521"/>
    </row>
    <row r="83" spans="2:11">
      <c r="B83" s="4" t="s">
        <v>134</v>
      </c>
      <c r="C83" s="4"/>
      <c r="D83" s="45" t="str">
        <f>IFERROR("Cannot Calculate",ROUND(PV(D82/12,D81*12,D80/12*-1),0))</f>
        <v>Cannot Calculate</v>
      </c>
    </row>
    <row r="84" spans="2:11">
      <c r="B84" s="1" t="s">
        <v>135</v>
      </c>
      <c r="D84" s="49"/>
      <c r="E84" s="4" t="s">
        <v>64</v>
      </c>
      <c r="F84" s="400" t="str">
        <f>IFERROR("Cannot calculate",(D84-D83)/D83)</f>
        <v>Cannot calculate</v>
      </c>
      <c r="G84" s="519"/>
      <c r="H84" s="520"/>
      <c r="I84" s="520"/>
      <c r="J84" s="520"/>
      <c r="K84" s="521"/>
    </row>
    <row r="85" spans="2:11">
      <c r="B85" s="1" t="s">
        <v>136</v>
      </c>
      <c r="D85" s="2">
        <f>PMT(D82/12,D81*12,-D84)*12</f>
        <v>0</v>
      </c>
      <c r="E85" s="58" t="e">
        <f>D85/Units</f>
        <v>#DIV/0!</v>
      </c>
      <c r="F85" s="15" t="e">
        <f>D85/$D$9</f>
        <v>#DIV/0!</v>
      </c>
    </row>
    <row r="86" spans="2:11">
      <c r="B86" s="4" t="s">
        <v>327</v>
      </c>
      <c r="D86" s="70" t="str">
        <f>IFERROR("n/a",D76/D85)</f>
        <v>n/a</v>
      </c>
    </row>
    <row r="87" spans="2:11">
      <c r="D87" s="70"/>
      <c r="E87" s="70"/>
    </row>
    <row r="88" spans="2:11">
      <c r="B88" s="1" t="s">
        <v>35</v>
      </c>
      <c r="D88" s="18">
        <f>D76-D85</f>
        <v>-3000</v>
      </c>
      <c r="E88" s="11" t="e">
        <f>D88/Units</f>
        <v>#DIV/0!</v>
      </c>
      <c r="F88" s="15" t="e">
        <f>D88/$D$9</f>
        <v>#DIV/0!</v>
      </c>
    </row>
  </sheetData>
  <sheetProtection algorithmName="SHA-512" hashValue="R07qm5nL1yjMJgY7z4XQVl2S8YsaWB7z+2NZDJDbVTJyuzD2S+ngd7txJ3w7I//D0MaMDtAP1b+ZPzWVZ3x9PA==" saltValue="BI/mlwFMti+8jrdP5lEjpg==" spinCount="100000" sheet="1" objects="1" scenarios="1"/>
  <mergeCells count="59">
    <mergeCell ref="G17:K17"/>
    <mergeCell ref="G13:K13"/>
    <mergeCell ref="G22:K22"/>
    <mergeCell ref="G20:K20"/>
    <mergeCell ref="G21:K21"/>
    <mergeCell ref="G42:K42"/>
    <mergeCell ref="G34:K34"/>
    <mergeCell ref="B1:K1"/>
    <mergeCell ref="G4:K4"/>
    <mergeCell ref="G5:K5"/>
    <mergeCell ref="G6:K6"/>
    <mergeCell ref="G7:K7"/>
    <mergeCell ref="G27:K27"/>
    <mergeCell ref="G28:K28"/>
    <mergeCell ref="G8:K8"/>
    <mergeCell ref="G15:K15"/>
    <mergeCell ref="G25:K25"/>
    <mergeCell ref="G18:K18"/>
    <mergeCell ref="G19:K19"/>
    <mergeCell ref="G14:K14"/>
    <mergeCell ref="G16:K16"/>
    <mergeCell ref="G37:K37"/>
    <mergeCell ref="G38:K38"/>
    <mergeCell ref="G39:K39"/>
    <mergeCell ref="G40:K40"/>
    <mergeCell ref="G41:K41"/>
    <mergeCell ref="G35:K35"/>
    <mergeCell ref="G36:K36"/>
    <mergeCell ref="G29:K29"/>
    <mergeCell ref="G30:K30"/>
    <mergeCell ref="G31:K31"/>
    <mergeCell ref="G65:K65"/>
    <mergeCell ref="G69:K69"/>
    <mergeCell ref="G67:K67"/>
    <mergeCell ref="G68:K68"/>
    <mergeCell ref="G43:K43"/>
    <mergeCell ref="G54:K54"/>
    <mergeCell ref="G61:K61"/>
    <mergeCell ref="G84:K84"/>
    <mergeCell ref="G82:K82"/>
    <mergeCell ref="G81:K81"/>
    <mergeCell ref="G79:K79"/>
    <mergeCell ref="G78:K78"/>
    <mergeCell ref="G70:K70"/>
    <mergeCell ref="G71:K71"/>
    <mergeCell ref="G47:K47"/>
    <mergeCell ref="G48:K48"/>
    <mergeCell ref="G46:K46"/>
    <mergeCell ref="G57:K57"/>
    <mergeCell ref="G55:K55"/>
    <mergeCell ref="G59:K59"/>
    <mergeCell ref="G63:K63"/>
    <mergeCell ref="G64:K64"/>
    <mergeCell ref="G66:K66"/>
    <mergeCell ref="G50:K50"/>
    <mergeCell ref="G51:K51"/>
    <mergeCell ref="G52:K52"/>
    <mergeCell ref="G49:K49"/>
    <mergeCell ref="G62:K62"/>
  </mergeCells>
  <phoneticPr fontId="0" type="noConversion"/>
  <conditionalFormatting sqref="F84">
    <cfRule type="cellIs" dxfId="0" priority="1" operator="lessThan">
      <formula>0</formula>
    </cfRule>
  </conditionalFormatting>
  <printOptions horizontalCentered="1"/>
  <pageMargins left="0.75" right="0.75" top="1" bottom="1" header="0.5" footer="0.5"/>
  <pageSetup scale="5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4"/>
  <sheetViews>
    <sheetView showGridLines="0" workbookViewId="0">
      <selection activeCell="B5" sqref="B5"/>
    </sheetView>
  </sheetViews>
  <sheetFormatPr defaultColWidth="8.8203125" defaultRowHeight="12.7" outlineLevelRow="1"/>
  <cols>
    <col min="1" max="1" width="47.5859375" style="47" bestFit="1" customWidth="1"/>
    <col min="2" max="2" width="9.5859375" style="47" customWidth="1"/>
    <col min="3" max="3" width="16.64453125" style="47" customWidth="1"/>
    <col min="4" max="4" width="11.05859375" style="47" bestFit="1" customWidth="1"/>
    <col min="5" max="5" width="11.29296875" style="47" bestFit="1" customWidth="1"/>
    <col min="6" max="6" width="12.05859375" style="47" bestFit="1" customWidth="1"/>
    <col min="7" max="8" width="12.05859375" style="24" bestFit="1" customWidth="1"/>
    <col min="9" max="12" width="12.05859375" style="47" bestFit="1" customWidth="1"/>
    <col min="13" max="13" width="11.05859375" style="47" bestFit="1" customWidth="1"/>
    <col min="14" max="15" width="12.05859375" style="47" bestFit="1" customWidth="1"/>
    <col min="16" max="17" width="12" style="47" bestFit="1" customWidth="1"/>
    <col min="18" max="18" width="11" style="47" bestFit="1" customWidth="1"/>
    <col min="19" max="22" width="12" style="47" bestFit="1" customWidth="1"/>
    <col min="23" max="23" width="13.3515625" style="47" customWidth="1"/>
    <col min="24" max="24" width="19" style="47" bestFit="1" customWidth="1"/>
    <col min="25" max="16384" width="8.8203125" style="47"/>
  </cols>
  <sheetData>
    <row r="1" spans="1:23" ht="15.7" thickBot="1">
      <c r="A1" s="60" t="s">
        <v>132</v>
      </c>
      <c r="D1" s="67" t="str">
        <f>"Project: "&amp;Project</f>
        <v xml:space="preserve">Project: </v>
      </c>
      <c r="E1" s="68"/>
      <c r="F1" s="68"/>
      <c r="G1" s="69" t="str">
        <f>"Developer: "&amp;Developer</f>
        <v xml:space="preserve">Developer: </v>
      </c>
      <c r="M1" s="527" t="s">
        <v>132</v>
      </c>
      <c r="N1" s="528"/>
      <c r="O1" s="528"/>
      <c r="Q1" s="67" t="str">
        <f>"Project: "&amp;Project</f>
        <v xml:space="preserve">Project: </v>
      </c>
      <c r="R1" s="68"/>
      <c r="S1" s="68"/>
      <c r="T1" s="69" t="str">
        <f>"Developer: "&amp;Developer</f>
        <v xml:space="preserve">Developer: </v>
      </c>
    </row>
    <row r="3" spans="1:23">
      <c r="C3" s="22" t="s">
        <v>68</v>
      </c>
      <c r="D3" s="22" t="s">
        <v>68</v>
      </c>
      <c r="E3" s="22" t="s">
        <v>68</v>
      </c>
      <c r="F3" s="22" t="s">
        <v>68</v>
      </c>
      <c r="G3" s="46" t="s">
        <v>68</v>
      </c>
      <c r="H3" s="46" t="s">
        <v>68</v>
      </c>
      <c r="I3" s="22" t="s">
        <v>68</v>
      </c>
      <c r="J3" s="22" t="s">
        <v>68</v>
      </c>
      <c r="K3" s="22" t="s">
        <v>68</v>
      </c>
      <c r="L3" s="22" t="s">
        <v>68</v>
      </c>
      <c r="M3" s="22" t="s">
        <v>68</v>
      </c>
      <c r="N3" s="22" t="s">
        <v>68</v>
      </c>
      <c r="O3" s="22" t="s">
        <v>68</v>
      </c>
      <c r="P3" s="22" t="s">
        <v>68</v>
      </c>
      <c r="Q3" s="22" t="s">
        <v>68</v>
      </c>
      <c r="R3" s="22" t="s">
        <v>68</v>
      </c>
      <c r="S3" s="22" t="s">
        <v>68</v>
      </c>
      <c r="T3" s="22" t="s">
        <v>68</v>
      </c>
      <c r="U3" s="22" t="s">
        <v>68</v>
      </c>
      <c r="V3" s="22" t="s">
        <v>68</v>
      </c>
    </row>
    <row r="4" spans="1:23" s="22" customFormat="1">
      <c r="B4" s="330" t="s">
        <v>54</v>
      </c>
      <c r="C4" s="22">
        <v>1</v>
      </c>
      <c r="D4" s="22">
        <v>2</v>
      </c>
      <c r="E4" s="22">
        <v>3</v>
      </c>
      <c r="F4" s="22">
        <v>4</v>
      </c>
      <c r="G4" s="46">
        <v>5</v>
      </c>
      <c r="H4" s="46">
        <v>6</v>
      </c>
      <c r="I4" s="22">
        <v>7</v>
      </c>
      <c r="J4" s="22">
        <v>8</v>
      </c>
      <c r="K4" s="22">
        <v>9</v>
      </c>
      <c r="L4" s="22">
        <v>10</v>
      </c>
      <c r="M4" s="22">
        <v>11</v>
      </c>
      <c r="N4" s="22">
        <v>12</v>
      </c>
      <c r="O4" s="22">
        <v>13</v>
      </c>
      <c r="P4" s="22">
        <v>14</v>
      </c>
      <c r="Q4" s="22">
        <v>15</v>
      </c>
      <c r="R4" s="22">
        <v>16</v>
      </c>
      <c r="S4" s="22">
        <v>17</v>
      </c>
      <c r="T4" s="22">
        <v>18</v>
      </c>
      <c r="U4" s="22">
        <v>19</v>
      </c>
      <c r="V4" s="22">
        <v>20</v>
      </c>
    </row>
    <row r="5" spans="1:23">
      <c r="A5" s="19" t="s">
        <v>37</v>
      </c>
      <c r="B5" s="402">
        <v>0.02</v>
      </c>
    </row>
    <row r="6" spans="1:23">
      <c r="A6" s="4" t="s">
        <v>8</v>
      </c>
      <c r="B6" s="59">
        <f>B5</f>
        <v>0.02</v>
      </c>
      <c r="C6" s="6">
        <f>'2)Units&amp;Revenue'!I56</f>
        <v>0</v>
      </c>
      <c r="D6" s="6">
        <f>C6*(1+$B$6)</f>
        <v>0</v>
      </c>
      <c r="E6" s="6">
        <f>D6*(1+$B$6)</f>
        <v>0</v>
      </c>
      <c r="F6" s="6">
        <f t="shared" ref="F6:V6" si="0">E6*(1+$B$6)</f>
        <v>0</v>
      </c>
      <c r="G6" s="6">
        <f t="shared" si="0"/>
        <v>0</v>
      </c>
      <c r="H6" s="6">
        <f t="shared" si="0"/>
        <v>0</v>
      </c>
      <c r="I6" s="6">
        <f t="shared" si="0"/>
        <v>0</v>
      </c>
      <c r="J6" s="6">
        <f t="shared" si="0"/>
        <v>0</v>
      </c>
      <c r="K6" s="6">
        <f t="shared" si="0"/>
        <v>0</v>
      </c>
      <c r="L6" s="6">
        <f t="shared" si="0"/>
        <v>0</v>
      </c>
      <c r="M6" s="6">
        <f t="shared" si="0"/>
        <v>0</v>
      </c>
      <c r="N6" s="6">
        <f t="shared" si="0"/>
        <v>0</v>
      </c>
      <c r="O6" s="6">
        <f t="shared" si="0"/>
        <v>0</v>
      </c>
      <c r="P6" s="6">
        <f t="shared" si="0"/>
        <v>0</v>
      </c>
      <c r="Q6" s="6">
        <f t="shared" si="0"/>
        <v>0</v>
      </c>
      <c r="R6" s="6">
        <f t="shared" si="0"/>
        <v>0</v>
      </c>
      <c r="S6" s="6">
        <f t="shared" si="0"/>
        <v>0</v>
      </c>
      <c r="T6" s="6">
        <f t="shared" si="0"/>
        <v>0</v>
      </c>
      <c r="U6" s="6">
        <f t="shared" si="0"/>
        <v>0</v>
      </c>
      <c r="V6" s="6">
        <f t="shared" si="0"/>
        <v>0</v>
      </c>
    </row>
    <row r="7" spans="1:23">
      <c r="A7" s="4" t="s">
        <v>14</v>
      </c>
      <c r="B7" s="59">
        <f>B5</f>
        <v>0.02</v>
      </c>
      <c r="C7" s="6">
        <f>'3)Operating Budget'!D6</f>
        <v>0</v>
      </c>
      <c r="D7" s="6">
        <f>C7*(1+$B$7)</f>
        <v>0</v>
      </c>
      <c r="E7" s="6">
        <f t="shared" ref="E7:V7" si="1">D7*(1+$B$7)</f>
        <v>0</v>
      </c>
      <c r="F7" s="6">
        <f t="shared" si="1"/>
        <v>0</v>
      </c>
      <c r="G7" s="6">
        <f t="shared" si="1"/>
        <v>0</v>
      </c>
      <c r="H7" s="6">
        <f t="shared" si="1"/>
        <v>0</v>
      </c>
      <c r="I7" s="6">
        <f t="shared" si="1"/>
        <v>0</v>
      </c>
      <c r="J7" s="6">
        <f t="shared" si="1"/>
        <v>0</v>
      </c>
      <c r="K7" s="6">
        <f t="shared" si="1"/>
        <v>0</v>
      </c>
      <c r="L7" s="6">
        <f t="shared" si="1"/>
        <v>0</v>
      </c>
      <c r="M7" s="6">
        <f t="shared" si="1"/>
        <v>0</v>
      </c>
      <c r="N7" s="6">
        <f t="shared" si="1"/>
        <v>0</v>
      </c>
      <c r="O7" s="6">
        <f t="shared" si="1"/>
        <v>0</v>
      </c>
      <c r="P7" s="6">
        <f t="shared" si="1"/>
        <v>0</v>
      </c>
      <c r="Q7" s="6">
        <f t="shared" si="1"/>
        <v>0</v>
      </c>
      <c r="R7" s="6">
        <f t="shared" si="1"/>
        <v>0</v>
      </c>
      <c r="S7" s="6">
        <f t="shared" si="1"/>
        <v>0</v>
      </c>
      <c r="T7" s="6">
        <f t="shared" si="1"/>
        <v>0</v>
      </c>
      <c r="U7" s="6">
        <f t="shared" si="1"/>
        <v>0</v>
      </c>
      <c r="V7" s="6">
        <f t="shared" si="1"/>
        <v>0</v>
      </c>
    </row>
    <row r="8" spans="1:23">
      <c r="A8" s="4" t="s">
        <v>22</v>
      </c>
      <c r="B8" s="15">
        <f>'3)Operating Budget'!C8</f>
        <v>7.4999999999999997E-2</v>
      </c>
      <c r="C8" s="6">
        <f t="shared" ref="C8:V8" si="2">(C6+C7)*$B$8</f>
        <v>0</v>
      </c>
      <c r="D8" s="6">
        <f t="shared" si="2"/>
        <v>0</v>
      </c>
      <c r="E8" s="6">
        <f t="shared" si="2"/>
        <v>0</v>
      </c>
      <c r="F8" s="6">
        <f t="shared" si="2"/>
        <v>0</v>
      </c>
      <c r="G8" s="6">
        <f t="shared" si="2"/>
        <v>0</v>
      </c>
      <c r="H8" s="6">
        <f t="shared" si="2"/>
        <v>0</v>
      </c>
      <c r="I8" s="6">
        <f t="shared" si="2"/>
        <v>0</v>
      </c>
      <c r="J8" s="6">
        <f t="shared" si="2"/>
        <v>0</v>
      </c>
      <c r="K8" s="6">
        <f t="shared" si="2"/>
        <v>0</v>
      </c>
      <c r="L8" s="6">
        <f t="shared" si="2"/>
        <v>0</v>
      </c>
      <c r="M8" s="6">
        <f t="shared" si="2"/>
        <v>0</v>
      </c>
      <c r="N8" s="6">
        <f t="shared" si="2"/>
        <v>0</v>
      </c>
      <c r="O8" s="6">
        <f t="shared" si="2"/>
        <v>0</v>
      </c>
      <c r="P8" s="6">
        <f t="shared" si="2"/>
        <v>0</v>
      </c>
      <c r="Q8" s="6">
        <f t="shared" si="2"/>
        <v>0</v>
      </c>
      <c r="R8" s="6">
        <f t="shared" si="2"/>
        <v>0</v>
      </c>
      <c r="S8" s="6">
        <f t="shared" si="2"/>
        <v>0</v>
      </c>
      <c r="T8" s="6">
        <f t="shared" si="2"/>
        <v>0</v>
      </c>
      <c r="U8" s="6">
        <f t="shared" si="2"/>
        <v>0</v>
      </c>
      <c r="V8" s="6">
        <f t="shared" si="2"/>
        <v>0</v>
      </c>
    </row>
    <row r="9" spans="1:23">
      <c r="A9" s="19" t="s">
        <v>126</v>
      </c>
      <c r="B9" s="5"/>
      <c r="C9" s="3">
        <f>C6+C7-C8</f>
        <v>0</v>
      </c>
      <c r="D9" s="3">
        <f t="shared" ref="D9:V9" si="3">D6+D7-D8</f>
        <v>0</v>
      </c>
      <c r="E9" s="3">
        <f t="shared" si="3"/>
        <v>0</v>
      </c>
      <c r="F9" s="3">
        <f t="shared" si="3"/>
        <v>0</v>
      </c>
      <c r="G9" s="3">
        <f t="shared" si="3"/>
        <v>0</v>
      </c>
      <c r="H9" s="3">
        <f t="shared" si="3"/>
        <v>0</v>
      </c>
      <c r="I9" s="3">
        <f t="shared" si="3"/>
        <v>0</v>
      </c>
      <c r="J9" s="3">
        <f t="shared" si="3"/>
        <v>0</v>
      </c>
      <c r="K9" s="3">
        <f t="shared" si="3"/>
        <v>0</v>
      </c>
      <c r="L9" s="3">
        <f t="shared" si="3"/>
        <v>0</v>
      </c>
      <c r="M9" s="3">
        <f t="shared" si="3"/>
        <v>0</v>
      </c>
      <c r="N9" s="3">
        <f t="shared" si="3"/>
        <v>0</v>
      </c>
      <c r="O9" s="3">
        <f t="shared" si="3"/>
        <v>0</v>
      </c>
      <c r="P9" s="3">
        <f t="shared" si="3"/>
        <v>0</v>
      </c>
      <c r="Q9" s="3">
        <f t="shared" si="3"/>
        <v>0</v>
      </c>
      <c r="R9" s="3">
        <f t="shared" si="3"/>
        <v>0</v>
      </c>
      <c r="S9" s="3">
        <f t="shared" si="3"/>
        <v>0</v>
      </c>
      <c r="T9" s="3">
        <f t="shared" si="3"/>
        <v>0</v>
      </c>
      <c r="U9" s="3">
        <f t="shared" si="3"/>
        <v>0</v>
      </c>
      <c r="V9" s="3">
        <f t="shared" si="3"/>
        <v>0</v>
      </c>
      <c r="W9" s="24"/>
    </row>
    <row r="10" spans="1:23">
      <c r="A10" s="25"/>
      <c r="B10" s="25" t="s">
        <v>32</v>
      </c>
      <c r="C10" s="6" t="e">
        <f t="shared" ref="C10:V10" si="4">C9/Units</f>
        <v>#DIV/0!</v>
      </c>
      <c r="D10" s="6" t="e">
        <f t="shared" si="4"/>
        <v>#DIV/0!</v>
      </c>
      <c r="E10" s="6" t="e">
        <f t="shared" si="4"/>
        <v>#DIV/0!</v>
      </c>
      <c r="F10" s="6" t="e">
        <f t="shared" si="4"/>
        <v>#DIV/0!</v>
      </c>
      <c r="G10" s="6" t="e">
        <f t="shared" si="4"/>
        <v>#DIV/0!</v>
      </c>
      <c r="H10" s="6" t="e">
        <f t="shared" si="4"/>
        <v>#DIV/0!</v>
      </c>
      <c r="I10" s="6" t="e">
        <f t="shared" si="4"/>
        <v>#DIV/0!</v>
      </c>
      <c r="J10" s="6" t="e">
        <f t="shared" si="4"/>
        <v>#DIV/0!</v>
      </c>
      <c r="K10" s="6" t="e">
        <f t="shared" si="4"/>
        <v>#DIV/0!</v>
      </c>
      <c r="L10" s="6" t="e">
        <f t="shared" si="4"/>
        <v>#DIV/0!</v>
      </c>
      <c r="M10" s="6" t="e">
        <f t="shared" si="4"/>
        <v>#DIV/0!</v>
      </c>
      <c r="N10" s="6" t="e">
        <f t="shared" si="4"/>
        <v>#DIV/0!</v>
      </c>
      <c r="O10" s="6" t="e">
        <f t="shared" si="4"/>
        <v>#DIV/0!</v>
      </c>
      <c r="P10" s="6" t="e">
        <f t="shared" si="4"/>
        <v>#DIV/0!</v>
      </c>
      <c r="Q10" s="6" t="e">
        <f t="shared" si="4"/>
        <v>#DIV/0!</v>
      </c>
      <c r="R10" s="6" t="e">
        <f t="shared" si="4"/>
        <v>#DIV/0!</v>
      </c>
      <c r="S10" s="6" t="e">
        <f t="shared" si="4"/>
        <v>#DIV/0!</v>
      </c>
      <c r="T10" s="6" t="e">
        <f t="shared" si="4"/>
        <v>#DIV/0!</v>
      </c>
      <c r="U10" s="6" t="e">
        <f t="shared" si="4"/>
        <v>#DIV/0!</v>
      </c>
      <c r="V10" s="6" t="e">
        <f t="shared" si="4"/>
        <v>#DIV/0!</v>
      </c>
    </row>
    <row r="11" spans="1:23">
      <c r="A11" s="25"/>
      <c r="C11" s="6"/>
      <c r="D11" s="6"/>
      <c r="E11" s="6"/>
      <c r="F11" s="6"/>
      <c r="G11" s="6"/>
      <c r="H11" s="6"/>
      <c r="I11" s="6"/>
      <c r="J11" s="6"/>
      <c r="K11" s="6"/>
      <c r="L11" s="6"/>
      <c r="M11" s="6"/>
      <c r="N11" s="6"/>
      <c r="O11" s="6"/>
      <c r="P11" s="6"/>
      <c r="Q11" s="6"/>
      <c r="R11" s="6"/>
      <c r="S11" s="6"/>
      <c r="T11" s="6"/>
      <c r="U11" s="6"/>
      <c r="V11" s="6"/>
    </row>
    <row r="12" spans="1:23" ht="10.5" customHeight="1">
      <c r="B12" s="330" t="s">
        <v>54</v>
      </c>
      <c r="C12" s="6"/>
      <c r="D12" s="24"/>
      <c r="E12" s="24"/>
      <c r="F12" s="24"/>
      <c r="I12" s="24"/>
      <c r="J12" s="24"/>
      <c r="K12" s="24"/>
      <c r="L12" s="24"/>
      <c r="M12" s="24"/>
      <c r="N12" s="24"/>
      <c r="O12" s="24"/>
      <c r="P12" s="24"/>
      <c r="Q12" s="24"/>
      <c r="R12" s="24"/>
      <c r="S12" s="24"/>
      <c r="T12" s="24"/>
      <c r="U12" s="24"/>
      <c r="V12" s="24"/>
    </row>
    <row r="13" spans="1:23">
      <c r="A13" s="19" t="s">
        <v>38</v>
      </c>
      <c r="B13" s="402">
        <v>0.03</v>
      </c>
      <c r="C13" s="6"/>
      <c r="D13" s="24"/>
      <c r="E13" s="24"/>
      <c r="F13" s="24"/>
      <c r="I13" s="24"/>
      <c r="J13" s="24"/>
      <c r="K13" s="24"/>
      <c r="L13" s="24"/>
      <c r="M13" s="24"/>
      <c r="N13" s="24"/>
      <c r="O13" s="24"/>
      <c r="P13" s="24"/>
      <c r="Q13" s="24"/>
      <c r="R13" s="24"/>
      <c r="S13" s="24"/>
      <c r="T13" s="24"/>
      <c r="U13" s="24"/>
      <c r="V13" s="24"/>
    </row>
    <row r="14" spans="1:23">
      <c r="A14" s="4" t="s">
        <v>181</v>
      </c>
      <c r="B14" s="59">
        <f>$B$13</f>
        <v>0.03</v>
      </c>
      <c r="C14" s="6">
        <f>'3)Operating Budget'!D23</f>
        <v>0</v>
      </c>
      <c r="D14" s="26">
        <f t="shared" ref="D14:E22" si="5">C14*(1+$B14)</f>
        <v>0</v>
      </c>
      <c r="E14" s="26">
        <f t="shared" si="5"/>
        <v>0</v>
      </c>
      <c r="F14" s="26">
        <f t="shared" ref="F14:V15" si="6">E14*(1+$B14)</f>
        <v>0</v>
      </c>
      <c r="G14" s="26">
        <f t="shared" si="6"/>
        <v>0</v>
      </c>
      <c r="H14" s="26">
        <f t="shared" si="6"/>
        <v>0</v>
      </c>
      <c r="I14" s="26">
        <f t="shared" si="6"/>
        <v>0</v>
      </c>
      <c r="J14" s="26">
        <f t="shared" si="6"/>
        <v>0</v>
      </c>
      <c r="K14" s="26">
        <f t="shared" si="6"/>
        <v>0</v>
      </c>
      <c r="L14" s="26">
        <f t="shared" si="6"/>
        <v>0</v>
      </c>
      <c r="M14" s="26">
        <f t="shared" si="6"/>
        <v>0</v>
      </c>
      <c r="N14" s="26">
        <f t="shared" si="6"/>
        <v>0</v>
      </c>
      <c r="O14" s="26">
        <f t="shared" si="6"/>
        <v>0</v>
      </c>
      <c r="P14" s="26">
        <f t="shared" si="6"/>
        <v>0</v>
      </c>
      <c r="Q14" s="26">
        <f t="shared" si="6"/>
        <v>0</v>
      </c>
      <c r="R14" s="26">
        <f t="shared" si="6"/>
        <v>0</v>
      </c>
      <c r="S14" s="26">
        <f t="shared" si="6"/>
        <v>0</v>
      </c>
      <c r="T14" s="26">
        <f t="shared" si="6"/>
        <v>0</v>
      </c>
      <c r="U14" s="26">
        <f t="shared" si="6"/>
        <v>0</v>
      </c>
      <c r="V14" s="26">
        <f t="shared" si="6"/>
        <v>0</v>
      </c>
    </row>
    <row r="15" spans="1:23">
      <c r="A15" s="4" t="s">
        <v>137</v>
      </c>
      <c r="B15" s="59">
        <f t="shared" ref="B15:B22" si="7">$B$13</f>
        <v>0.03</v>
      </c>
      <c r="C15" s="6">
        <f>C9*'3)Operating Budget'!$F$25</f>
        <v>0</v>
      </c>
      <c r="D15" s="26">
        <f t="shared" si="5"/>
        <v>0</v>
      </c>
      <c r="E15" s="26">
        <f t="shared" ref="E15" si="8">D15*(1+$B15)</f>
        <v>0</v>
      </c>
      <c r="F15" s="26">
        <f t="shared" si="6"/>
        <v>0</v>
      </c>
      <c r="G15" s="26">
        <f t="shared" si="6"/>
        <v>0</v>
      </c>
      <c r="H15" s="26">
        <f t="shared" si="6"/>
        <v>0</v>
      </c>
      <c r="I15" s="26">
        <f t="shared" si="6"/>
        <v>0</v>
      </c>
      <c r="J15" s="26">
        <f t="shared" si="6"/>
        <v>0</v>
      </c>
      <c r="K15" s="26">
        <f t="shared" si="6"/>
        <v>0</v>
      </c>
      <c r="L15" s="26">
        <f t="shared" si="6"/>
        <v>0</v>
      </c>
      <c r="M15" s="26">
        <f t="shared" si="6"/>
        <v>0</v>
      </c>
      <c r="N15" s="26">
        <f t="shared" si="6"/>
        <v>0</v>
      </c>
      <c r="O15" s="26">
        <f t="shared" si="6"/>
        <v>0</v>
      </c>
      <c r="P15" s="26">
        <f t="shared" si="6"/>
        <v>0</v>
      </c>
      <c r="Q15" s="26">
        <f t="shared" si="6"/>
        <v>0</v>
      </c>
      <c r="R15" s="26">
        <f t="shared" si="6"/>
        <v>0</v>
      </c>
      <c r="S15" s="26">
        <f t="shared" si="6"/>
        <v>0</v>
      </c>
      <c r="T15" s="26">
        <f t="shared" si="6"/>
        <v>0</v>
      </c>
      <c r="U15" s="26">
        <f t="shared" si="6"/>
        <v>0</v>
      </c>
      <c r="V15" s="26">
        <f t="shared" si="6"/>
        <v>0</v>
      </c>
    </row>
    <row r="16" spans="1:23">
      <c r="A16" s="4" t="s">
        <v>184</v>
      </c>
      <c r="B16" s="59">
        <f t="shared" si="7"/>
        <v>0.03</v>
      </c>
      <c r="C16" s="6">
        <f>'3)Operating Budget'!D32</f>
        <v>0</v>
      </c>
      <c r="D16" s="6">
        <f t="shared" ref="D16:S22" si="9">C16*(1+$B16)</f>
        <v>0</v>
      </c>
      <c r="E16" s="26">
        <f t="shared" si="5"/>
        <v>0</v>
      </c>
      <c r="F16" s="26">
        <f t="shared" ref="F16:V17" si="10">E16*(1+$B16)</f>
        <v>0</v>
      </c>
      <c r="G16" s="26">
        <f t="shared" si="10"/>
        <v>0</v>
      </c>
      <c r="H16" s="26">
        <f t="shared" si="10"/>
        <v>0</v>
      </c>
      <c r="I16" s="26">
        <f t="shared" si="10"/>
        <v>0</v>
      </c>
      <c r="J16" s="26">
        <f t="shared" si="10"/>
        <v>0</v>
      </c>
      <c r="K16" s="26">
        <f t="shared" si="10"/>
        <v>0</v>
      </c>
      <c r="L16" s="26">
        <f t="shared" si="10"/>
        <v>0</v>
      </c>
      <c r="M16" s="26">
        <f t="shared" si="10"/>
        <v>0</v>
      </c>
      <c r="N16" s="26">
        <f t="shared" si="10"/>
        <v>0</v>
      </c>
      <c r="O16" s="26">
        <f t="shared" si="10"/>
        <v>0</v>
      </c>
      <c r="P16" s="26">
        <f t="shared" si="10"/>
        <v>0</v>
      </c>
      <c r="Q16" s="26">
        <f t="shared" si="10"/>
        <v>0</v>
      </c>
      <c r="R16" s="26">
        <f t="shared" si="10"/>
        <v>0</v>
      </c>
      <c r="S16" s="26">
        <f t="shared" si="10"/>
        <v>0</v>
      </c>
      <c r="T16" s="26">
        <f t="shared" si="10"/>
        <v>0</v>
      </c>
      <c r="U16" s="26">
        <f t="shared" si="10"/>
        <v>0</v>
      </c>
      <c r="V16" s="26">
        <f t="shared" si="10"/>
        <v>0</v>
      </c>
    </row>
    <row r="17" spans="1:26">
      <c r="A17" s="4" t="s">
        <v>190</v>
      </c>
      <c r="B17" s="59">
        <f t="shared" si="7"/>
        <v>0.03</v>
      </c>
      <c r="C17" s="6">
        <f>'3)Operating Budget'!D44</f>
        <v>0</v>
      </c>
      <c r="D17" s="6">
        <f t="shared" si="9"/>
        <v>0</v>
      </c>
      <c r="E17" s="6">
        <f t="shared" si="9"/>
        <v>0</v>
      </c>
      <c r="F17" s="6">
        <f t="shared" si="9"/>
        <v>0</v>
      </c>
      <c r="G17" s="6">
        <f t="shared" si="9"/>
        <v>0</v>
      </c>
      <c r="H17" s="6">
        <f t="shared" si="9"/>
        <v>0</v>
      </c>
      <c r="I17" s="6">
        <f t="shared" si="9"/>
        <v>0</v>
      </c>
      <c r="J17" s="6">
        <f t="shared" si="9"/>
        <v>0</v>
      </c>
      <c r="K17" s="6">
        <f t="shared" si="9"/>
        <v>0</v>
      </c>
      <c r="L17" s="6">
        <f t="shared" si="9"/>
        <v>0</v>
      </c>
      <c r="M17" s="6">
        <f t="shared" si="9"/>
        <v>0</v>
      </c>
      <c r="N17" s="6">
        <f t="shared" si="9"/>
        <v>0</v>
      </c>
      <c r="O17" s="6">
        <f t="shared" si="9"/>
        <v>0</v>
      </c>
      <c r="P17" s="6">
        <f t="shared" si="9"/>
        <v>0</v>
      </c>
      <c r="Q17" s="6">
        <f t="shared" si="9"/>
        <v>0</v>
      </c>
      <c r="R17" s="6">
        <f t="shared" si="9"/>
        <v>0</v>
      </c>
      <c r="S17" s="6">
        <f t="shared" si="9"/>
        <v>0</v>
      </c>
      <c r="T17" s="6">
        <f t="shared" si="10"/>
        <v>0</v>
      </c>
      <c r="U17" s="6">
        <f t="shared" si="10"/>
        <v>0</v>
      </c>
      <c r="V17" s="6">
        <f t="shared" si="10"/>
        <v>0</v>
      </c>
    </row>
    <row r="18" spans="1:26">
      <c r="A18" s="47" t="s">
        <v>168</v>
      </c>
      <c r="B18" s="59">
        <f t="shared" si="7"/>
        <v>0.03</v>
      </c>
      <c r="C18" s="6">
        <f>'3)Operating Budget'!D53</f>
        <v>0</v>
      </c>
      <c r="D18" s="6">
        <f t="shared" si="9"/>
        <v>0</v>
      </c>
      <c r="E18" s="26">
        <f t="shared" si="5"/>
        <v>0</v>
      </c>
      <c r="F18" s="26">
        <f t="shared" ref="F18:V18" si="11">E18*(1+$B18)</f>
        <v>0</v>
      </c>
      <c r="G18" s="26">
        <f t="shared" si="11"/>
        <v>0</v>
      </c>
      <c r="H18" s="26">
        <f t="shared" si="11"/>
        <v>0</v>
      </c>
      <c r="I18" s="26">
        <f t="shared" si="11"/>
        <v>0</v>
      </c>
      <c r="J18" s="26">
        <f t="shared" si="11"/>
        <v>0</v>
      </c>
      <c r="K18" s="26">
        <f t="shared" si="11"/>
        <v>0</v>
      </c>
      <c r="L18" s="26">
        <f t="shared" si="11"/>
        <v>0</v>
      </c>
      <c r="M18" s="26">
        <f t="shared" si="11"/>
        <v>0</v>
      </c>
      <c r="N18" s="26">
        <f t="shared" si="11"/>
        <v>0</v>
      </c>
      <c r="O18" s="26">
        <f t="shared" si="11"/>
        <v>0</v>
      </c>
      <c r="P18" s="26">
        <f t="shared" si="11"/>
        <v>0</v>
      </c>
      <c r="Q18" s="26">
        <f t="shared" si="11"/>
        <v>0</v>
      </c>
      <c r="R18" s="26">
        <f t="shared" si="11"/>
        <v>0</v>
      </c>
      <c r="S18" s="26">
        <f t="shared" si="11"/>
        <v>0</v>
      </c>
      <c r="T18" s="26">
        <f t="shared" si="11"/>
        <v>0</v>
      </c>
      <c r="U18" s="26">
        <f t="shared" si="11"/>
        <v>0</v>
      </c>
      <c r="V18" s="26">
        <f t="shared" si="11"/>
        <v>0</v>
      </c>
    </row>
    <row r="19" spans="1:26">
      <c r="A19" s="4" t="s">
        <v>29</v>
      </c>
      <c r="B19" s="59">
        <f t="shared" si="7"/>
        <v>0.03</v>
      </c>
      <c r="C19" s="6">
        <f>'3)Operating Budget'!D55</f>
        <v>0</v>
      </c>
      <c r="D19" s="6">
        <f t="shared" si="9"/>
        <v>0</v>
      </c>
      <c r="E19" s="26">
        <f t="shared" si="5"/>
        <v>0</v>
      </c>
      <c r="F19" s="26">
        <f t="shared" ref="F19:V19" si="12">E19*(1+$B19)</f>
        <v>0</v>
      </c>
      <c r="G19" s="26">
        <f t="shared" si="12"/>
        <v>0</v>
      </c>
      <c r="H19" s="26">
        <f t="shared" si="12"/>
        <v>0</v>
      </c>
      <c r="I19" s="26">
        <f t="shared" si="12"/>
        <v>0</v>
      </c>
      <c r="J19" s="26">
        <f t="shared" si="12"/>
        <v>0</v>
      </c>
      <c r="K19" s="26">
        <f t="shared" si="12"/>
        <v>0</v>
      </c>
      <c r="L19" s="26">
        <f t="shared" si="12"/>
        <v>0</v>
      </c>
      <c r="M19" s="26">
        <f t="shared" si="12"/>
        <v>0</v>
      </c>
      <c r="N19" s="26">
        <f t="shared" si="12"/>
        <v>0</v>
      </c>
      <c r="O19" s="26">
        <f t="shared" si="12"/>
        <v>0</v>
      </c>
      <c r="P19" s="26">
        <f t="shared" si="12"/>
        <v>0</v>
      </c>
      <c r="Q19" s="26">
        <f t="shared" si="12"/>
        <v>0</v>
      </c>
      <c r="R19" s="26">
        <f t="shared" si="12"/>
        <v>0</v>
      </c>
      <c r="S19" s="26">
        <f t="shared" si="12"/>
        <v>0</v>
      </c>
      <c r="T19" s="26">
        <f t="shared" si="12"/>
        <v>0</v>
      </c>
      <c r="U19" s="26">
        <f t="shared" si="12"/>
        <v>0</v>
      </c>
      <c r="V19" s="26">
        <f t="shared" si="12"/>
        <v>0</v>
      </c>
    </row>
    <row r="20" spans="1:26">
      <c r="A20" s="4" t="s">
        <v>188</v>
      </c>
      <c r="B20" s="59">
        <f t="shared" si="7"/>
        <v>0.03</v>
      </c>
      <c r="C20" s="6">
        <f>'3)Operating Budget'!D57</f>
        <v>0</v>
      </c>
      <c r="D20" s="6">
        <f t="shared" si="9"/>
        <v>0</v>
      </c>
      <c r="E20" s="26">
        <f t="shared" si="5"/>
        <v>0</v>
      </c>
      <c r="F20" s="26">
        <f t="shared" ref="F20:V20" si="13">E20*(1+$B20)</f>
        <v>0</v>
      </c>
      <c r="G20" s="26">
        <f t="shared" si="13"/>
        <v>0</v>
      </c>
      <c r="H20" s="26">
        <f t="shared" si="13"/>
        <v>0</v>
      </c>
      <c r="I20" s="26">
        <f t="shared" si="13"/>
        <v>0</v>
      </c>
      <c r="J20" s="26">
        <f t="shared" si="13"/>
        <v>0</v>
      </c>
      <c r="K20" s="26">
        <f t="shared" si="13"/>
        <v>0</v>
      </c>
      <c r="L20" s="26">
        <f t="shared" si="13"/>
        <v>0</v>
      </c>
      <c r="M20" s="26">
        <f t="shared" si="13"/>
        <v>0</v>
      </c>
      <c r="N20" s="26">
        <f t="shared" si="13"/>
        <v>0</v>
      </c>
      <c r="O20" s="26">
        <f t="shared" si="13"/>
        <v>0</v>
      </c>
      <c r="P20" s="26">
        <f t="shared" si="13"/>
        <v>0</v>
      </c>
      <c r="Q20" s="26">
        <f t="shared" si="13"/>
        <v>0</v>
      </c>
      <c r="R20" s="26">
        <f t="shared" si="13"/>
        <v>0</v>
      </c>
      <c r="S20" s="26">
        <f t="shared" si="13"/>
        <v>0</v>
      </c>
      <c r="T20" s="26">
        <f t="shared" si="13"/>
        <v>0</v>
      </c>
      <c r="U20" s="26">
        <f t="shared" si="13"/>
        <v>0</v>
      </c>
      <c r="V20" s="26">
        <f t="shared" si="13"/>
        <v>0</v>
      </c>
    </row>
    <row r="21" spans="1:26">
      <c r="A21" s="4" t="s">
        <v>30</v>
      </c>
      <c r="B21" s="59">
        <f t="shared" si="7"/>
        <v>0.03</v>
      </c>
      <c r="C21" s="6">
        <f>'3)Operating Budget'!D59</f>
        <v>0</v>
      </c>
      <c r="D21" s="6">
        <f t="shared" si="9"/>
        <v>0</v>
      </c>
      <c r="E21" s="26">
        <f t="shared" si="5"/>
        <v>0</v>
      </c>
      <c r="F21" s="26">
        <f t="shared" ref="F21:V21" si="14">E21*(1+$B21)</f>
        <v>0</v>
      </c>
      <c r="G21" s="26">
        <f t="shared" si="14"/>
        <v>0</v>
      </c>
      <c r="H21" s="26">
        <f t="shared" si="14"/>
        <v>0</v>
      </c>
      <c r="I21" s="26">
        <f t="shared" si="14"/>
        <v>0</v>
      </c>
      <c r="J21" s="26">
        <f t="shared" si="14"/>
        <v>0</v>
      </c>
      <c r="K21" s="26">
        <f t="shared" si="14"/>
        <v>0</v>
      </c>
      <c r="L21" s="26">
        <f t="shared" si="14"/>
        <v>0</v>
      </c>
      <c r="M21" s="26">
        <f t="shared" si="14"/>
        <v>0</v>
      </c>
      <c r="N21" s="26">
        <f t="shared" si="14"/>
        <v>0</v>
      </c>
      <c r="O21" s="26">
        <f t="shared" si="14"/>
        <v>0</v>
      </c>
      <c r="P21" s="26">
        <f t="shared" si="14"/>
        <v>0</v>
      </c>
      <c r="Q21" s="26">
        <f t="shared" si="14"/>
        <v>0</v>
      </c>
      <c r="R21" s="26">
        <f t="shared" si="14"/>
        <v>0</v>
      </c>
      <c r="S21" s="26">
        <f t="shared" si="14"/>
        <v>0</v>
      </c>
      <c r="T21" s="26">
        <f t="shared" si="14"/>
        <v>0</v>
      </c>
      <c r="U21" s="26">
        <f t="shared" si="14"/>
        <v>0</v>
      </c>
      <c r="V21" s="26">
        <f t="shared" si="14"/>
        <v>0</v>
      </c>
    </row>
    <row r="22" spans="1:26">
      <c r="A22" s="44" t="s">
        <v>189</v>
      </c>
      <c r="B22" s="319">
        <f t="shared" si="7"/>
        <v>0.03</v>
      </c>
      <c r="C22" s="6">
        <f>'3)Operating Budget'!D72</f>
        <v>3000</v>
      </c>
      <c r="D22" s="6">
        <f t="shared" si="9"/>
        <v>3090</v>
      </c>
      <c r="E22" s="6">
        <f t="shared" si="5"/>
        <v>3182.7000000000003</v>
      </c>
      <c r="F22" s="6">
        <f t="shared" ref="F22:V22" si="15">E22*(1+$B22)</f>
        <v>3278.1810000000005</v>
      </c>
      <c r="G22" s="6">
        <f t="shared" si="15"/>
        <v>3376.5264300000008</v>
      </c>
      <c r="H22" s="6">
        <f t="shared" si="15"/>
        <v>3477.8222229000007</v>
      </c>
      <c r="I22" s="6">
        <f t="shared" si="15"/>
        <v>3582.1568895870009</v>
      </c>
      <c r="J22" s="6">
        <f t="shared" si="15"/>
        <v>3689.621596274611</v>
      </c>
      <c r="K22" s="6">
        <f t="shared" si="15"/>
        <v>3800.3102441628494</v>
      </c>
      <c r="L22" s="6">
        <f t="shared" si="15"/>
        <v>3914.3195514877348</v>
      </c>
      <c r="M22" s="6">
        <f t="shared" si="15"/>
        <v>4031.7491380323668</v>
      </c>
      <c r="N22" s="6">
        <f t="shared" si="15"/>
        <v>4152.7016121733377</v>
      </c>
      <c r="O22" s="6">
        <f t="shared" si="15"/>
        <v>4277.282660538538</v>
      </c>
      <c r="P22" s="6">
        <f t="shared" si="15"/>
        <v>4405.6011403546945</v>
      </c>
      <c r="Q22" s="6">
        <f t="shared" si="15"/>
        <v>4537.7691745653356</v>
      </c>
      <c r="R22" s="6">
        <f t="shared" si="15"/>
        <v>4673.902249802296</v>
      </c>
      <c r="S22" s="6">
        <f t="shared" si="15"/>
        <v>4814.1193172963649</v>
      </c>
      <c r="T22" s="6">
        <f t="shared" si="15"/>
        <v>4958.5428968152564</v>
      </c>
      <c r="U22" s="6">
        <f t="shared" si="15"/>
        <v>5107.2991837197142</v>
      </c>
      <c r="V22" s="6">
        <f t="shared" si="15"/>
        <v>5260.5181592313056</v>
      </c>
    </row>
    <row r="23" spans="1:26" s="24" customFormat="1">
      <c r="A23" s="320" t="s">
        <v>42</v>
      </c>
      <c r="B23" s="321" t="s">
        <v>377</v>
      </c>
      <c r="C23" s="28">
        <f t="shared" ref="C23:V23" si="16">SUM(C14:C22)</f>
        <v>3000</v>
      </c>
      <c r="D23" s="28">
        <f t="shared" si="16"/>
        <v>3090</v>
      </c>
      <c r="E23" s="28">
        <f t="shared" si="16"/>
        <v>3182.7000000000003</v>
      </c>
      <c r="F23" s="28">
        <f t="shared" si="16"/>
        <v>3278.1810000000005</v>
      </c>
      <c r="G23" s="28">
        <f t="shared" si="16"/>
        <v>3376.5264300000008</v>
      </c>
      <c r="H23" s="28">
        <f t="shared" si="16"/>
        <v>3477.8222229000007</v>
      </c>
      <c r="I23" s="28">
        <f t="shared" si="16"/>
        <v>3582.1568895870009</v>
      </c>
      <c r="J23" s="28">
        <f t="shared" si="16"/>
        <v>3689.621596274611</v>
      </c>
      <c r="K23" s="28">
        <f t="shared" si="16"/>
        <v>3800.3102441628494</v>
      </c>
      <c r="L23" s="28">
        <f t="shared" si="16"/>
        <v>3914.3195514877348</v>
      </c>
      <c r="M23" s="28">
        <f t="shared" si="16"/>
        <v>4031.7491380323668</v>
      </c>
      <c r="N23" s="28">
        <f t="shared" si="16"/>
        <v>4152.7016121733377</v>
      </c>
      <c r="O23" s="28">
        <f t="shared" si="16"/>
        <v>4277.282660538538</v>
      </c>
      <c r="P23" s="28">
        <f t="shared" si="16"/>
        <v>4405.6011403546945</v>
      </c>
      <c r="Q23" s="28">
        <f t="shared" si="16"/>
        <v>4537.7691745653356</v>
      </c>
      <c r="R23" s="28">
        <f t="shared" si="16"/>
        <v>4673.902249802296</v>
      </c>
      <c r="S23" s="28">
        <f t="shared" si="16"/>
        <v>4814.1193172963649</v>
      </c>
      <c r="T23" s="28">
        <f t="shared" si="16"/>
        <v>4958.5428968152564</v>
      </c>
      <c r="U23" s="28">
        <f t="shared" si="16"/>
        <v>5107.2991837197142</v>
      </c>
      <c r="V23" s="28">
        <f t="shared" si="16"/>
        <v>5260.5181592313056</v>
      </c>
    </row>
    <row r="24" spans="1:26" s="24" customFormat="1">
      <c r="A24" s="316"/>
      <c r="B24" s="316" t="s">
        <v>32</v>
      </c>
      <c r="C24" s="322" t="e">
        <f t="shared" ref="C24:V24" si="17">C23/Units</f>
        <v>#DIV/0!</v>
      </c>
      <c r="D24" s="322" t="e">
        <f t="shared" si="17"/>
        <v>#DIV/0!</v>
      </c>
      <c r="E24" s="322" t="e">
        <f t="shared" si="17"/>
        <v>#DIV/0!</v>
      </c>
      <c r="F24" s="322" t="e">
        <f t="shared" si="17"/>
        <v>#DIV/0!</v>
      </c>
      <c r="G24" s="322" t="e">
        <f t="shared" si="17"/>
        <v>#DIV/0!</v>
      </c>
      <c r="H24" s="322" t="e">
        <f t="shared" si="17"/>
        <v>#DIV/0!</v>
      </c>
      <c r="I24" s="322" t="e">
        <f t="shared" si="17"/>
        <v>#DIV/0!</v>
      </c>
      <c r="J24" s="322" t="e">
        <f t="shared" si="17"/>
        <v>#DIV/0!</v>
      </c>
      <c r="K24" s="322" t="e">
        <f t="shared" si="17"/>
        <v>#DIV/0!</v>
      </c>
      <c r="L24" s="322" t="e">
        <f t="shared" si="17"/>
        <v>#DIV/0!</v>
      </c>
      <c r="M24" s="322" t="e">
        <f t="shared" si="17"/>
        <v>#DIV/0!</v>
      </c>
      <c r="N24" s="322" t="e">
        <f t="shared" si="17"/>
        <v>#DIV/0!</v>
      </c>
      <c r="O24" s="322" t="e">
        <f t="shared" si="17"/>
        <v>#DIV/0!</v>
      </c>
      <c r="P24" s="322" t="e">
        <f t="shared" si="17"/>
        <v>#DIV/0!</v>
      </c>
      <c r="Q24" s="322" t="e">
        <f t="shared" si="17"/>
        <v>#DIV/0!</v>
      </c>
      <c r="R24" s="322" t="e">
        <f t="shared" si="17"/>
        <v>#DIV/0!</v>
      </c>
      <c r="S24" s="322" t="e">
        <f t="shared" si="17"/>
        <v>#DIV/0!</v>
      </c>
      <c r="T24" s="322" t="e">
        <f t="shared" si="17"/>
        <v>#DIV/0!</v>
      </c>
      <c r="U24" s="322" t="e">
        <f t="shared" si="17"/>
        <v>#DIV/0!</v>
      </c>
      <c r="V24" s="322" t="e">
        <f t="shared" si="17"/>
        <v>#DIV/0!</v>
      </c>
    </row>
    <row r="25" spans="1:26" s="24" customFormat="1">
      <c r="A25" s="317"/>
      <c r="C25" s="6"/>
      <c r="D25" s="6"/>
      <c r="E25" s="6"/>
      <c r="F25" s="6"/>
      <c r="G25" s="6"/>
      <c r="H25" s="6"/>
      <c r="I25" s="6"/>
      <c r="J25" s="6"/>
      <c r="K25" s="6"/>
      <c r="L25" s="6"/>
      <c r="M25" s="6"/>
      <c r="N25" s="6"/>
      <c r="O25" s="6"/>
      <c r="P25" s="6"/>
      <c r="Q25" s="6"/>
      <c r="R25" s="6"/>
      <c r="S25" s="6"/>
      <c r="T25" s="6"/>
      <c r="U25" s="6"/>
      <c r="V25" s="6"/>
    </row>
    <row r="26" spans="1:26" s="24" customFormat="1">
      <c r="A26" s="320" t="s">
        <v>34</v>
      </c>
      <c r="B26" s="321" t="s">
        <v>377</v>
      </c>
      <c r="C26" s="28">
        <f t="shared" ref="C26:V26" si="18">C9-C23</f>
        <v>-3000</v>
      </c>
      <c r="D26" s="28">
        <f t="shared" si="18"/>
        <v>-3090</v>
      </c>
      <c r="E26" s="28">
        <f t="shared" si="18"/>
        <v>-3182.7000000000003</v>
      </c>
      <c r="F26" s="28">
        <f t="shared" si="18"/>
        <v>-3278.1810000000005</v>
      </c>
      <c r="G26" s="28">
        <f t="shared" si="18"/>
        <v>-3376.5264300000008</v>
      </c>
      <c r="H26" s="28">
        <f t="shared" si="18"/>
        <v>-3477.8222229000007</v>
      </c>
      <c r="I26" s="28">
        <f t="shared" si="18"/>
        <v>-3582.1568895870009</v>
      </c>
      <c r="J26" s="28">
        <f t="shared" si="18"/>
        <v>-3689.621596274611</v>
      </c>
      <c r="K26" s="28">
        <f t="shared" si="18"/>
        <v>-3800.3102441628494</v>
      </c>
      <c r="L26" s="28">
        <f t="shared" si="18"/>
        <v>-3914.3195514877348</v>
      </c>
      <c r="M26" s="28">
        <f t="shared" si="18"/>
        <v>-4031.7491380323668</v>
      </c>
      <c r="N26" s="28">
        <f t="shared" si="18"/>
        <v>-4152.7016121733377</v>
      </c>
      <c r="O26" s="28">
        <f t="shared" si="18"/>
        <v>-4277.282660538538</v>
      </c>
      <c r="P26" s="28">
        <f t="shared" si="18"/>
        <v>-4405.6011403546945</v>
      </c>
      <c r="Q26" s="28">
        <f t="shared" si="18"/>
        <v>-4537.7691745653356</v>
      </c>
      <c r="R26" s="28">
        <f t="shared" si="18"/>
        <v>-4673.902249802296</v>
      </c>
      <c r="S26" s="28">
        <f t="shared" si="18"/>
        <v>-4814.1193172963649</v>
      </c>
      <c r="T26" s="28">
        <f t="shared" si="18"/>
        <v>-4958.5428968152564</v>
      </c>
      <c r="U26" s="28">
        <f t="shared" si="18"/>
        <v>-5107.2991837197142</v>
      </c>
      <c r="V26" s="28">
        <f t="shared" si="18"/>
        <v>-5260.5181592313056</v>
      </c>
    </row>
    <row r="27" spans="1:26" s="24" customFormat="1">
      <c r="A27" s="316"/>
      <c r="B27" s="316" t="s">
        <v>32</v>
      </c>
      <c r="C27" s="322" t="e">
        <f t="shared" ref="C27:V27" si="19">C26/Units</f>
        <v>#DIV/0!</v>
      </c>
      <c r="D27" s="322" t="e">
        <f t="shared" si="19"/>
        <v>#DIV/0!</v>
      </c>
      <c r="E27" s="322" t="e">
        <f t="shared" si="19"/>
        <v>#DIV/0!</v>
      </c>
      <c r="F27" s="322" t="e">
        <f t="shared" si="19"/>
        <v>#DIV/0!</v>
      </c>
      <c r="G27" s="322" t="e">
        <f t="shared" si="19"/>
        <v>#DIV/0!</v>
      </c>
      <c r="H27" s="322" t="e">
        <f t="shared" si="19"/>
        <v>#DIV/0!</v>
      </c>
      <c r="I27" s="322" t="e">
        <f t="shared" si="19"/>
        <v>#DIV/0!</v>
      </c>
      <c r="J27" s="322" t="e">
        <f t="shared" si="19"/>
        <v>#DIV/0!</v>
      </c>
      <c r="K27" s="322" t="e">
        <f t="shared" si="19"/>
        <v>#DIV/0!</v>
      </c>
      <c r="L27" s="322" t="e">
        <f t="shared" si="19"/>
        <v>#DIV/0!</v>
      </c>
      <c r="M27" s="322" t="e">
        <f t="shared" si="19"/>
        <v>#DIV/0!</v>
      </c>
      <c r="N27" s="322" t="e">
        <f t="shared" si="19"/>
        <v>#DIV/0!</v>
      </c>
      <c r="O27" s="322" t="e">
        <f t="shared" si="19"/>
        <v>#DIV/0!</v>
      </c>
      <c r="P27" s="322" t="e">
        <f t="shared" si="19"/>
        <v>#DIV/0!</v>
      </c>
      <c r="Q27" s="322" t="e">
        <f t="shared" si="19"/>
        <v>#DIV/0!</v>
      </c>
      <c r="R27" s="322" t="e">
        <f t="shared" si="19"/>
        <v>#DIV/0!</v>
      </c>
      <c r="S27" s="322" t="e">
        <f t="shared" si="19"/>
        <v>#DIV/0!</v>
      </c>
      <c r="T27" s="322" t="e">
        <f t="shared" si="19"/>
        <v>#DIV/0!</v>
      </c>
      <c r="U27" s="322" t="e">
        <f t="shared" si="19"/>
        <v>#DIV/0!</v>
      </c>
      <c r="V27" s="322" t="e">
        <f t="shared" si="19"/>
        <v>#DIV/0!</v>
      </c>
    </row>
    <row r="28" spans="1:26">
      <c r="A28" s="25"/>
      <c r="C28" s="2"/>
    </row>
    <row r="29" spans="1:26">
      <c r="A29" s="320" t="s">
        <v>48</v>
      </c>
      <c r="B29" s="27"/>
      <c r="C29" s="28">
        <f>'3)Operating Budget'!$D$85</f>
        <v>0</v>
      </c>
      <c r="D29" s="28">
        <f>'3)Operating Budget'!$D$85</f>
        <v>0</v>
      </c>
      <c r="E29" s="28">
        <f>'3)Operating Budget'!$D$85</f>
        <v>0</v>
      </c>
      <c r="F29" s="28">
        <f>'3)Operating Budget'!$D$85</f>
        <v>0</v>
      </c>
      <c r="G29" s="28">
        <f>'3)Operating Budget'!$D$85</f>
        <v>0</v>
      </c>
      <c r="H29" s="28">
        <f>'3)Operating Budget'!$D$85</f>
        <v>0</v>
      </c>
      <c r="I29" s="28">
        <f>'3)Operating Budget'!$D$85</f>
        <v>0</v>
      </c>
      <c r="J29" s="28">
        <f>'3)Operating Budget'!$D$85</f>
        <v>0</v>
      </c>
      <c r="K29" s="28">
        <f>'3)Operating Budget'!$D$85</f>
        <v>0</v>
      </c>
      <c r="L29" s="28">
        <f>'3)Operating Budget'!$D$85</f>
        <v>0</v>
      </c>
      <c r="M29" s="28">
        <f>'3)Operating Budget'!$D$85</f>
        <v>0</v>
      </c>
      <c r="N29" s="28">
        <f>'3)Operating Budget'!$D$85</f>
        <v>0</v>
      </c>
      <c r="O29" s="28">
        <f>'3)Operating Budget'!$D$85</f>
        <v>0</v>
      </c>
      <c r="P29" s="28">
        <f>'3)Operating Budget'!$D$85</f>
        <v>0</v>
      </c>
      <c r="Q29" s="28">
        <f>'3)Operating Budget'!$D$85</f>
        <v>0</v>
      </c>
      <c r="R29" s="28">
        <f>'3)Operating Budget'!$D$85</f>
        <v>0</v>
      </c>
      <c r="S29" s="28">
        <f>'3)Operating Budget'!$D$85</f>
        <v>0</v>
      </c>
      <c r="T29" s="28">
        <f>'3)Operating Budget'!$D$85</f>
        <v>0</v>
      </c>
      <c r="U29" s="28">
        <f>'3)Operating Budget'!$D$85</f>
        <v>0</v>
      </c>
      <c r="V29" s="28">
        <f>'3)Operating Budget'!$D$85</f>
        <v>0</v>
      </c>
    </row>
    <row r="30" spans="1:26" s="323" customFormat="1">
      <c r="A30" s="324" t="s">
        <v>44</v>
      </c>
      <c r="B30" s="325"/>
      <c r="C30" s="326" t="str">
        <f>IF(C29=0,"n/a",C26/C29)</f>
        <v>n/a</v>
      </c>
      <c r="D30" s="326" t="str">
        <f t="shared" ref="D30:V30" si="20">IF(D29=0,"n/a",D26/D29)</f>
        <v>n/a</v>
      </c>
      <c r="E30" s="326" t="str">
        <f t="shared" si="20"/>
        <v>n/a</v>
      </c>
      <c r="F30" s="326" t="str">
        <f t="shared" si="20"/>
        <v>n/a</v>
      </c>
      <c r="G30" s="326" t="str">
        <f t="shared" si="20"/>
        <v>n/a</v>
      </c>
      <c r="H30" s="326" t="str">
        <f t="shared" si="20"/>
        <v>n/a</v>
      </c>
      <c r="I30" s="326" t="str">
        <f t="shared" si="20"/>
        <v>n/a</v>
      </c>
      <c r="J30" s="326" t="str">
        <f t="shared" si="20"/>
        <v>n/a</v>
      </c>
      <c r="K30" s="326" t="str">
        <f t="shared" si="20"/>
        <v>n/a</v>
      </c>
      <c r="L30" s="326" t="str">
        <f t="shared" si="20"/>
        <v>n/a</v>
      </c>
      <c r="M30" s="326" t="str">
        <f t="shared" si="20"/>
        <v>n/a</v>
      </c>
      <c r="N30" s="326" t="str">
        <f t="shared" si="20"/>
        <v>n/a</v>
      </c>
      <c r="O30" s="326" t="str">
        <f t="shared" si="20"/>
        <v>n/a</v>
      </c>
      <c r="P30" s="326" t="str">
        <f t="shared" si="20"/>
        <v>n/a</v>
      </c>
      <c r="Q30" s="326" t="str">
        <f t="shared" si="20"/>
        <v>n/a</v>
      </c>
      <c r="R30" s="326" t="str">
        <f t="shared" si="20"/>
        <v>n/a</v>
      </c>
      <c r="S30" s="326" t="str">
        <f t="shared" si="20"/>
        <v>n/a</v>
      </c>
      <c r="T30" s="326" t="str">
        <f t="shared" si="20"/>
        <v>n/a</v>
      </c>
      <c r="U30" s="326" t="str">
        <f t="shared" si="20"/>
        <v>n/a</v>
      </c>
      <c r="V30" s="326" t="str">
        <f t="shared" si="20"/>
        <v>n/a</v>
      </c>
    </row>
    <row r="32" spans="1:26" s="23" customFormat="1">
      <c r="A32" s="320" t="s">
        <v>166</v>
      </c>
      <c r="B32" s="320"/>
      <c r="C32" s="327">
        <f>C26-C29</f>
        <v>-3000</v>
      </c>
      <c r="D32" s="327">
        <f t="shared" ref="D32:V32" si="21">D26-D29</f>
        <v>-3090</v>
      </c>
      <c r="E32" s="327">
        <f t="shared" si="21"/>
        <v>-3182.7000000000003</v>
      </c>
      <c r="F32" s="327">
        <f t="shared" si="21"/>
        <v>-3278.1810000000005</v>
      </c>
      <c r="G32" s="327">
        <f t="shared" si="21"/>
        <v>-3376.5264300000008</v>
      </c>
      <c r="H32" s="327">
        <f t="shared" si="21"/>
        <v>-3477.8222229000007</v>
      </c>
      <c r="I32" s="327">
        <f t="shared" si="21"/>
        <v>-3582.1568895870009</v>
      </c>
      <c r="J32" s="327">
        <f t="shared" si="21"/>
        <v>-3689.621596274611</v>
      </c>
      <c r="K32" s="327">
        <f t="shared" si="21"/>
        <v>-3800.3102441628494</v>
      </c>
      <c r="L32" s="327">
        <f t="shared" si="21"/>
        <v>-3914.3195514877348</v>
      </c>
      <c r="M32" s="327">
        <f t="shared" si="21"/>
        <v>-4031.7491380323668</v>
      </c>
      <c r="N32" s="327">
        <f t="shared" si="21"/>
        <v>-4152.7016121733377</v>
      </c>
      <c r="O32" s="327">
        <f t="shared" si="21"/>
        <v>-4277.282660538538</v>
      </c>
      <c r="P32" s="327">
        <f t="shared" si="21"/>
        <v>-4405.6011403546945</v>
      </c>
      <c r="Q32" s="327">
        <f t="shared" si="21"/>
        <v>-4537.7691745653356</v>
      </c>
      <c r="R32" s="327">
        <f t="shared" si="21"/>
        <v>-4673.902249802296</v>
      </c>
      <c r="S32" s="327">
        <f t="shared" si="21"/>
        <v>-4814.1193172963649</v>
      </c>
      <c r="T32" s="327">
        <f t="shared" si="21"/>
        <v>-4958.5428968152564</v>
      </c>
      <c r="U32" s="327">
        <f t="shared" si="21"/>
        <v>-5107.2991837197142</v>
      </c>
      <c r="V32" s="327">
        <f t="shared" si="21"/>
        <v>-5260.5181592313056</v>
      </c>
      <c r="W32" s="6">
        <f>SUM(C32:V32)</f>
        <v>-80611.123466941426</v>
      </c>
      <c r="X32" s="24"/>
      <c r="Y32" s="24"/>
      <c r="Z32" s="24"/>
    </row>
    <row r="33" spans="1:22">
      <c r="A33" s="316"/>
      <c r="B33" s="316" t="s">
        <v>32</v>
      </c>
      <c r="C33" s="3" t="e">
        <f t="shared" ref="C33:V33" si="22">C32/Units</f>
        <v>#DIV/0!</v>
      </c>
      <c r="D33" s="3" t="e">
        <f t="shared" si="22"/>
        <v>#DIV/0!</v>
      </c>
      <c r="E33" s="3" t="e">
        <f t="shared" si="22"/>
        <v>#DIV/0!</v>
      </c>
      <c r="F33" s="3" t="e">
        <f t="shared" si="22"/>
        <v>#DIV/0!</v>
      </c>
      <c r="G33" s="3" t="e">
        <f t="shared" si="22"/>
        <v>#DIV/0!</v>
      </c>
      <c r="H33" s="3" t="e">
        <f t="shared" si="22"/>
        <v>#DIV/0!</v>
      </c>
      <c r="I33" s="3" t="e">
        <f t="shared" si="22"/>
        <v>#DIV/0!</v>
      </c>
      <c r="J33" s="3" t="e">
        <f t="shared" si="22"/>
        <v>#DIV/0!</v>
      </c>
      <c r="K33" s="3" t="e">
        <f t="shared" si="22"/>
        <v>#DIV/0!</v>
      </c>
      <c r="L33" s="3" t="e">
        <f t="shared" si="22"/>
        <v>#DIV/0!</v>
      </c>
      <c r="M33" s="3" t="e">
        <f t="shared" si="22"/>
        <v>#DIV/0!</v>
      </c>
      <c r="N33" s="3" t="e">
        <f t="shared" si="22"/>
        <v>#DIV/0!</v>
      </c>
      <c r="O33" s="3" t="e">
        <f t="shared" si="22"/>
        <v>#DIV/0!</v>
      </c>
      <c r="P33" s="3" t="e">
        <f t="shared" si="22"/>
        <v>#DIV/0!</v>
      </c>
      <c r="Q33" s="3" t="e">
        <f t="shared" si="22"/>
        <v>#DIV/0!</v>
      </c>
      <c r="R33" s="3" t="e">
        <f t="shared" si="22"/>
        <v>#DIV/0!</v>
      </c>
      <c r="S33" s="3" t="e">
        <f t="shared" si="22"/>
        <v>#DIV/0!</v>
      </c>
      <c r="T33" s="3" t="e">
        <f t="shared" si="22"/>
        <v>#DIV/0!</v>
      </c>
      <c r="U33" s="3" t="e">
        <f t="shared" si="22"/>
        <v>#DIV/0!</v>
      </c>
      <c r="V33" s="3" t="e">
        <f t="shared" si="22"/>
        <v>#DIV/0!</v>
      </c>
    </row>
    <row r="34" spans="1:22">
      <c r="A34" s="317"/>
      <c r="B34" s="317"/>
      <c r="C34" s="6"/>
      <c r="D34" s="6"/>
      <c r="E34" s="6"/>
      <c r="F34" s="6"/>
      <c r="G34" s="6"/>
      <c r="H34" s="6"/>
      <c r="I34" s="6"/>
      <c r="J34" s="6"/>
      <c r="K34" s="6"/>
      <c r="L34" s="6"/>
      <c r="M34" s="6"/>
      <c r="N34" s="6"/>
      <c r="O34" s="6"/>
      <c r="P34" s="6"/>
      <c r="Q34" s="6"/>
      <c r="R34" s="6"/>
      <c r="S34" s="6"/>
      <c r="T34" s="6"/>
      <c r="U34" s="6"/>
      <c r="V34" s="6"/>
    </row>
    <row r="35" spans="1:22">
      <c r="A35" s="318" t="s">
        <v>359</v>
      </c>
      <c r="B35" s="35"/>
      <c r="C35" s="328">
        <f>C32/(C23+C29)</f>
        <v>-1</v>
      </c>
      <c r="D35" s="328">
        <f t="shared" ref="D35:V35" si="23">D32/(D23+D29)</f>
        <v>-1</v>
      </c>
      <c r="E35" s="328">
        <f t="shared" si="23"/>
        <v>-1</v>
      </c>
      <c r="F35" s="328">
        <f t="shared" si="23"/>
        <v>-1</v>
      </c>
      <c r="G35" s="328">
        <f t="shared" si="23"/>
        <v>-1</v>
      </c>
      <c r="H35" s="328">
        <f t="shared" si="23"/>
        <v>-1</v>
      </c>
      <c r="I35" s="328">
        <f t="shared" si="23"/>
        <v>-1</v>
      </c>
      <c r="J35" s="328">
        <f t="shared" si="23"/>
        <v>-1</v>
      </c>
      <c r="K35" s="328">
        <f t="shared" si="23"/>
        <v>-1</v>
      </c>
      <c r="L35" s="328">
        <f t="shared" si="23"/>
        <v>-1</v>
      </c>
      <c r="M35" s="328">
        <f t="shared" si="23"/>
        <v>-1</v>
      </c>
      <c r="N35" s="328">
        <f t="shared" si="23"/>
        <v>-1</v>
      </c>
      <c r="O35" s="328">
        <f t="shared" si="23"/>
        <v>-1</v>
      </c>
      <c r="P35" s="328">
        <f t="shared" si="23"/>
        <v>-1</v>
      </c>
      <c r="Q35" s="328">
        <f t="shared" si="23"/>
        <v>-1</v>
      </c>
      <c r="R35" s="328">
        <f t="shared" si="23"/>
        <v>-1</v>
      </c>
      <c r="S35" s="328">
        <f t="shared" si="23"/>
        <v>-1</v>
      </c>
      <c r="T35" s="328">
        <f t="shared" si="23"/>
        <v>-1</v>
      </c>
      <c r="U35" s="328">
        <f t="shared" si="23"/>
        <v>-1</v>
      </c>
      <c r="V35" s="328">
        <f t="shared" si="23"/>
        <v>-1</v>
      </c>
    </row>
    <row r="37" spans="1:22">
      <c r="A37" s="1" t="s">
        <v>247</v>
      </c>
      <c r="C37" s="2">
        <f t="shared" ref="C37:V37" si="24">C32</f>
        <v>-3000</v>
      </c>
      <c r="D37" s="2">
        <f t="shared" si="24"/>
        <v>-3090</v>
      </c>
      <c r="E37" s="2">
        <f t="shared" si="24"/>
        <v>-3182.7000000000003</v>
      </c>
      <c r="F37" s="2">
        <f t="shared" si="24"/>
        <v>-3278.1810000000005</v>
      </c>
      <c r="G37" s="6">
        <f t="shared" si="24"/>
        <v>-3376.5264300000008</v>
      </c>
      <c r="H37" s="6">
        <f t="shared" si="24"/>
        <v>-3477.8222229000007</v>
      </c>
      <c r="I37" s="2">
        <f t="shared" si="24"/>
        <v>-3582.1568895870009</v>
      </c>
      <c r="J37" s="2">
        <f t="shared" si="24"/>
        <v>-3689.621596274611</v>
      </c>
      <c r="K37" s="2">
        <f t="shared" si="24"/>
        <v>-3800.3102441628494</v>
      </c>
      <c r="L37" s="2">
        <f t="shared" si="24"/>
        <v>-3914.3195514877348</v>
      </c>
      <c r="M37" s="2">
        <f t="shared" si="24"/>
        <v>-4031.7491380323668</v>
      </c>
      <c r="N37" s="2">
        <f t="shared" si="24"/>
        <v>-4152.7016121733377</v>
      </c>
      <c r="O37" s="2">
        <f t="shared" si="24"/>
        <v>-4277.282660538538</v>
      </c>
      <c r="P37" s="2">
        <f t="shared" si="24"/>
        <v>-4405.6011403546945</v>
      </c>
      <c r="Q37" s="2">
        <f t="shared" si="24"/>
        <v>-4537.7691745653356</v>
      </c>
      <c r="R37" s="2">
        <f t="shared" si="24"/>
        <v>-4673.902249802296</v>
      </c>
      <c r="S37" s="2">
        <f t="shared" si="24"/>
        <v>-4814.1193172963649</v>
      </c>
      <c r="T37" s="2">
        <f t="shared" si="24"/>
        <v>-4958.5428968152564</v>
      </c>
      <c r="U37" s="2">
        <f t="shared" si="24"/>
        <v>-5107.2991837197142</v>
      </c>
      <c r="V37" s="2">
        <f t="shared" si="24"/>
        <v>-5260.5181592313056</v>
      </c>
    </row>
    <row r="38" spans="1:22">
      <c r="A38" s="71" t="s">
        <v>360</v>
      </c>
      <c r="B38" s="2">
        <f>SUM(C37:Q37)</f>
        <v>-55796.741660076485</v>
      </c>
      <c r="C38" s="2"/>
      <c r="D38" s="2"/>
      <c r="E38" s="2"/>
      <c r="F38" s="2"/>
      <c r="G38" s="6"/>
      <c r="H38" s="6"/>
      <c r="I38" s="2"/>
      <c r="J38" s="2"/>
      <c r="K38" s="2"/>
      <c r="L38" s="2"/>
      <c r="M38" s="2"/>
      <c r="N38" s="2"/>
      <c r="O38" s="2"/>
      <c r="P38" s="2"/>
      <c r="Q38" s="2"/>
      <c r="R38" s="2"/>
      <c r="S38" s="2"/>
      <c r="T38" s="2"/>
      <c r="U38" s="2"/>
      <c r="V38" s="2"/>
    </row>
    <row r="39" spans="1:22">
      <c r="A39" s="72" t="s">
        <v>361</v>
      </c>
      <c r="B39" s="2">
        <f>SUM(C37:V37)</f>
        <v>-80611.123466941426</v>
      </c>
      <c r="C39" s="2"/>
      <c r="D39" s="2"/>
      <c r="E39" s="2"/>
      <c r="F39" s="2"/>
      <c r="G39" s="6"/>
      <c r="H39" s="6"/>
      <c r="I39" s="2"/>
      <c r="J39" s="2"/>
      <c r="K39" s="2"/>
      <c r="L39" s="2"/>
      <c r="M39" s="2"/>
      <c r="N39" s="2"/>
      <c r="O39" s="2"/>
      <c r="P39" s="2"/>
      <c r="Q39" s="2"/>
      <c r="R39" s="2"/>
      <c r="S39" s="2"/>
      <c r="T39" s="2"/>
      <c r="U39" s="2"/>
      <c r="V39" s="2"/>
    </row>
    <row r="40" spans="1:22">
      <c r="C40" s="2"/>
      <c r="D40" s="2"/>
      <c r="E40" s="2"/>
      <c r="F40" s="2"/>
      <c r="G40" s="6"/>
      <c r="H40" s="6"/>
      <c r="I40" s="2"/>
      <c r="J40" s="2"/>
      <c r="K40" s="2"/>
      <c r="L40" s="2"/>
      <c r="M40" s="2"/>
      <c r="N40" s="2"/>
      <c r="O40" s="2"/>
      <c r="P40" s="2"/>
      <c r="Q40" s="2"/>
      <c r="R40" s="2"/>
      <c r="S40" s="2"/>
      <c r="T40" s="2"/>
      <c r="U40" s="2"/>
      <c r="V40" s="2"/>
    </row>
    <row r="41" spans="1:22">
      <c r="A41" s="1"/>
      <c r="B41" s="2"/>
      <c r="C41" s="2"/>
      <c r="D41" s="2"/>
      <c r="E41" s="2"/>
      <c r="F41" s="2"/>
      <c r="G41" s="6"/>
      <c r="H41" s="6"/>
      <c r="I41" s="2"/>
      <c r="J41" s="2"/>
      <c r="K41" s="2"/>
      <c r="L41" s="2"/>
      <c r="M41" s="2"/>
      <c r="N41" s="2"/>
      <c r="O41" s="2"/>
      <c r="P41" s="2"/>
      <c r="Q41" s="2"/>
      <c r="R41" s="2"/>
      <c r="S41" s="2"/>
      <c r="T41" s="2"/>
      <c r="U41" s="2"/>
      <c r="V41" s="2"/>
    </row>
    <row r="42" spans="1:22">
      <c r="A42" s="320" t="s">
        <v>363</v>
      </c>
      <c r="B42" s="27"/>
      <c r="C42" s="28">
        <f>DDF</f>
        <v>0</v>
      </c>
      <c r="D42" s="28">
        <f>C44</f>
        <v>0</v>
      </c>
      <c r="E42" s="28">
        <f t="shared" ref="E42:V42" si="25">D44</f>
        <v>0</v>
      </c>
      <c r="F42" s="28">
        <f t="shared" si="25"/>
        <v>0</v>
      </c>
      <c r="G42" s="28">
        <f t="shared" si="25"/>
        <v>0</v>
      </c>
      <c r="H42" s="28">
        <f t="shared" si="25"/>
        <v>0</v>
      </c>
      <c r="I42" s="28">
        <f t="shared" si="25"/>
        <v>0</v>
      </c>
      <c r="J42" s="28">
        <f t="shared" si="25"/>
        <v>0</v>
      </c>
      <c r="K42" s="28">
        <f t="shared" si="25"/>
        <v>0</v>
      </c>
      <c r="L42" s="28">
        <f t="shared" si="25"/>
        <v>0</v>
      </c>
      <c r="M42" s="28">
        <f t="shared" si="25"/>
        <v>0</v>
      </c>
      <c r="N42" s="28">
        <f t="shared" si="25"/>
        <v>0</v>
      </c>
      <c r="O42" s="28">
        <f t="shared" si="25"/>
        <v>0</v>
      </c>
      <c r="P42" s="28">
        <f t="shared" si="25"/>
        <v>0</v>
      </c>
      <c r="Q42" s="28">
        <f t="shared" si="25"/>
        <v>0</v>
      </c>
      <c r="R42" s="28">
        <f t="shared" si="25"/>
        <v>0</v>
      </c>
      <c r="S42" s="28">
        <f t="shared" si="25"/>
        <v>0</v>
      </c>
      <c r="T42" s="28">
        <f t="shared" si="25"/>
        <v>0</v>
      </c>
      <c r="U42" s="28">
        <f t="shared" si="25"/>
        <v>0</v>
      </c>
      <c r="V42" s="28">
        <f t="shared" si="25"/>
        <v>0</v>
      </c>
    </row>
    <row r="43" spans="1:22">
      <c r="A43" s="29" t="s">
        <v>362</v>
      </c>
      <c r="B43" s="24"/>
      <c r="C43" s="6">
        <f t="shared" ref="C43:V43" si="26">MIN(MAX(C37,0),C42)</f>
        <v>0</v>
      </c>
      <c r="D43" s="6">
        <f t="shared" si="26"/>
        <v>0</v>
      </c>
      <c r="E43" s="6">
        <f t="shared" si="26"/>
        <v>0</v>
      </c>
      <c r="F43" s="6">
        <f t="shared" si="26"/>
        <v>0</v>
      </c>
      <c r="G43" s="6">
        <f t="shared" si="26"/>
        <v>0</v>
      </c>
      <c r="H43" s="6">
        <f t="shared" si="26"/>
        <v>0</v>
      </c>
      <c r="I43" s="6">
        <f t="shared" si="26"/>
        <v>0</v>
      </c>
      <c r="J43" s="6">
        <f t="shared" si="26"/>
        <v>0</v>
      </c>
      <c r="K43" s="6">
        <f t="shared" si="26"/>
        <v>0</v>
      </c>
      <c r="L43" s="6">
        <f t="shared" si="26"/>
        <v>0</v>
      </c>
      <c r="M43" s="6">
        <f t="shared" si="26"/>
        <v>0</v>
      </c>
      <c r="N43" s="6">
        <f t="shared" si="26"/>
        <v>0</v>
      </c>
      <c r="O43" s="6">
        <f t="shared" si="26"/>
        <v>0</v>
      </c>
      <c r="P43" s="6">
        <f t="shared" si="26"/>
        <v>0</v>
      </c>
      <c r="Q43" s="6">
        <f t="shared" si="26"/>
        <v>0</v>
      </c>
      <c r="R43" s="6">
        <f t="shared" si="26"/>
        <v>0</v>
      </c>
      <c r="S43" s="6">
        <f t="shared" si="26"/>
        <v>0</v>
      </c>
      <c r="T43" s="6">
        <f t="shared" si="26"/>
        <v>0</v>
      </c>
      <c r="U43" s="6">
        <f t="shared" si="26"/>
        <v>0</v>
      </c>
      <c r="V43" s="6">
        <f t="shared" si="26"/>
        <v>0</v>
      </c>
    </row>
    <row r="44" spans="1:22">
      <c r="A44" s="30" t="s">
        <v>52</v>
      </c>
      <c r="B44" s="5"/>
      <c r="C44" s="3">
        <f>C42-C43</f>
        <v>0</v>
      </c>
      <c r="D44" s="3">
        <f>D42-D43</f>
        <v>0</v>
      </c>
      <c r="E44" s="3">
        <f t="shared" ref="E44:V44" si="27">E42-E43</f>
        <v>0</v>
      </c>
      <c r="F44" s="3">
        <f t="shared" si="27"/>
        <v>0</v>
      </c>
      <c r="G44" s="3">
        <f t="shared" si="27"/>
        <v>0</v>
      </c>
      <c r="H44" s="3">
        <f t="shared" si="27"/>
        <v>0</v>
      </c>
      <c r="I44" s="3">
        <f t="shared" si="27"/>
        <v>0</v>
      </c>
      <c r="J44" s="3">
        <f t="shared" si="27"/>
        <v>0</v>
      </c>
      <c r="K44" s="3">
        <f t="shared" si="27"/>
        <v>0</v>
      </c>
      <c r="L44" s="3">
        <f t="shared" si="27"/>
        <v>0</v>
      </c>
      <c r="M44" s="3">
        <f t="shared" si="27"/>
        <v>0</v>
      </c>
      <c r="N44" s="3">
        <f t="shared" si="27"/>
        <v>0</v>
      </c>
      <c r="O44" s="3">
        <f t="shared" si="27"/>
        <v>0</v>
      </c>
      <c r="P44" s="3">
        <f t="shared" si="27"/>
        <v>0</v>
      </c>
      <c r="Q44" s="3">
        <f t="shared" si="27"/>
        <v>0</v>
      </c>
      <c r="R44" s="3">
        <f t="shared" si="27"/>
        <v>0</v>
      </c>
      <c r="S44" s="3">
        <f t="shared" si="27"/>
        <v>0</v>
      </c>
      <c r="T44" s="3">
        <f t="shared" si="27"/>
        <v>0</v>
      </c>
      <c r="U44" s="3">
        <f t="shared" si="27"/>
        <v>0</v>
      </c>
      <c r="V44" s="3">
        <f t="shared" si="27"/>
        <v>0</v>
      </c>
    </row>
    <row r="46" spans="1:22">
      <c r="A46" s="329" t="s">
        <v>248</v>
      </c>
      <c r="B46" s="35"/>
      <c r="C46" s="36">
        <f t="shared" ref="C46:V46" si="28">C37-C43</f>
        <v>-3000</v>
      </c>
      <c r="D46" s="36">
        <f t="shared" si="28"/>
        <v>-3090</v>
      </c>
      <c r="E46" s="36">
        <f t="shared" si="28"/>
        <v>-3182.7000000000003</v>
      </c>
      <c r="F46" s="36">
        <f t="shared" si="28"/>
        <v>-3278.1810000000005</v>
      </c>
      <c r="G46" s="36">
        <f t="shared" si="28"/>
        <v>-3376.5264300000008</v>
      </c>
      <c r="H46" s="36">
        <f t="shared" si="28"/>
        <v>-3477.8222229000007</v>
      </c>
      <c r="I46" s="36">
        <f t="shared" si="28"/>
        <v>-3582.1568895870009</v>
      </c>
      <c r="J46" s="36">
        <f t="shared" si="28"/>
        <v>-3689.621596274611</v>
      </c>
      <c r="K46" s="36">
        <f t="shared" si="28"/>
        <v>-3800.3102441628494</v>
      </c>
      <c r="L46" s="36">
        <f t="shared" si="28"/>
        <v>-3914.3195514877348</v>
      </c>
      <c r="M46" s="36">
        <f t="shared" si="28"/>
        <v>-4031.7491380323668</v>
      </c>
      <c r="N46" s="36">
        <f t="shared" si="28"/>
        <v>-4152.7016121733377</v>
      </c>
      <c r="O46" s="36">
        <f t="shared" si="28"/>
        <v>-4277.282660538538</v>
      </c>
      <c r="P46" s="36">
        <f t="shared" si="28"/>
        <v>-4405.6011403546945</v>
      </c>
      <c r="Q46" s="36">
        <f t="shared" si="28"/>
        <v>-4537.7691745653356</v>
      </c>
      <c r="R46" s="36">
        <f t="shared" si="28"/>
        <v>-4673.902249802296</v>
      </c>
      <c r="S46" s="36">
        <f t="shared" si="28"/>
        <v>-4814.1193172963649</v>
      </c>
      <c r="T46" s="36">
        <f t="shared" si="28"/>
        <v>-4958.5428968152564</v>
      </c>
      <c r="U46" s="36">
        <f t="shared" si="28"/>
        <v>-5107.2991837197142</v>
      </c>
      <c r="V46" s="36">
        <f t="shared" si="28"/>
        <v>-5260.5181592313056</v>
      </c>
    </row>
    <row r="48" spans="1:22">
      <c r="A48" s="31" t="s">
        <v>364</v>
      </c>
      <c r="B48" s="74">
        <v>0.5</v>
      </c>
      <c r="C48" s="5"/>
      <c r="D48" s="5"/>
      <c r="E48" s="5"/>
      <c r="F48" s="5"/>
      <c r="G48" s="5"/>
      <c r="H48" s="5"/>
      <c r="I48" s="5"/>
      <c r="J48" s="5"/>
      <c r="K48" s="5"/>
      <c r="L48" s="5"/>
      <c r="M48" s="5"/>
      <c r="N48" s="5"/>
      <c r="O48" s="5"/>
      <c r="P48" s="5"/>
      <c r="Q48" s="5"/>
      <c r="R48" s="5"/>
      <c r="S48" s="5"/>
      <c r="T48" s="5"/>
      <c r="U48" s="5"/>
      <c r="V48" s="5"/>
    </row>
    <row r="49" spans="1:22">
      <c r="A49" s="32" t="s">
        <v>250</v>
      </c>
      <c r="C49" s="403">
        <f>'1)Summary &amp; Gap'!E47</f>
        <v>0</v>
      </c>
      <c r="D49" s="2">
        <f>C56</f>
        <v>0</v>
      </c>
      <c r="E49" s="2">
        <f t="shared" ref="E49:J49" si="29">D56</f>
        <v>0</v>
      </c>
      <c r="F49" s="2">
        <f t="shared" si="29"/>
        <v>0</v>
      </c>
      <c r="G49" s="6">
        <f t="shared" si="29"/>
        <v>0</v>
      </c>
      <c r="H49" s="6">
        <f t="shared" si="29"/>
        <v>0</v>
      </c>
      <c r="I49" s="2">
        <f t="shared" si="29"/>
        <v>0</v>
      </c>
      <c r="J49" s="2">
        <f t="shared" si="29"/>
        <v>0</v>
      </c>
      <c r="K49" s="2">
        <f t="shared" ref="K49:V49" si="30">J56</f>
        <v>0</v>
      </c>
      <c r="L49" s="2">
        <f t="shared" si="30"/>
        <v>0</v>
      </c>
      <c r="M49" s="2">
        <f t="shared" si="30"/>
        <v>0</v>
      </c>
      <c r="N49" s="2">
        <f t="shared" si="30"/>
        <v>0</v>
      </c>
      <c r="O49" s="2">
        <f t="shared" si="30"/>
        <v>0</v>
      </c>
      <c r="P49" s="2">
        <f t="shared" si="30"/>
        <v>0</v>
      </c>
      <c r="Q49" s="2">
        <f t="shared" si="30"/>
        <v>0</v>
      </c>
      <c r="R49" s="2">
        <f t="shared" si="30"/>
        <v>0</v>
      </c>
      <c r="S49" s="2">
        <f t="shared" si="30"/>
        <v>0</v>
      </c>
      <c r="T49" s="2">
        <f t="shared" si="30"/>
        <v>0</v>
      </c>
      <c r="U49" s="2">
        <f t="shared" si="30"/>
        <v>0</v>
      </c>
      <c r="V49" s="2">
        <f t="shared" si="30"/>
        <v>0</v>
      </c>
    </row>
    <row r="50" spans="1:22">
      <c r="A50" s="32" t="s">
        <v>251</v>
      </c>
      <c r="B50" s="330" t="s">
        <v>249</v>
      </c>
      <c r="C50" s="6"/>
      <c r="D50" s="6">
        <f>C54</f>
        <v>0</v>
      </c>
      <c r="E50" s="6">
        <f t="shared" ref="E50:J50" si="31">D54</f>
        <v>0</v>
      </c>
      <c r="F50" s="6">
        <f t="shared" si="31"/>
        <v>0</v>
      </c>
      <c r="G50" s="6">
        <f t="shared" si="31"/>
        <v>0</v>
      </c>
      <c r="H50" s="6">
        <f t="shared" si="31"/>
        <v>0</v>
      </c>
      <c r="I50" s="6">
        <f t="shared" si="31"/>
        <v>0</v>
      </c>
      <c r="J50" s="6">
        <f t="shared" si="31"/>
        <v>0</v>
      </c>
      <c r="K50" s="6">
        <f t="shared" ref="K50:V50" si="32">J54</f>
        <v>0</v>
      </c>
      <c r="L50" s="6">
        <f t="shared" si="32"/>
        <v>0</v>
      </c>
      <c r="M50" s="6">
        <f t="shared" si="32"/>
        <v>0</v>
      </c>
      <c r="N50" s="6">
        <f t="shared" si="32"/>
        <v>0</v>
      </c>
      <c r="O50" s="6">
        <f t="shared" si="32"/>
        <v>0</v>
      </c>
      <c r="P50" s="6">
        <f t="shared" si="32"/>
        <v>0</v>
      </c>
      <c r="Q50" s="6">
        <f t="shared" si="32"/>
        <v>0</v>
      </c>
      <c r="R50" s="6">
        <f t="shared" si="32"/>
        <v>0</v>
      </c>
      <c r="S50" s="6">
        <f t="shared" si="32"/>
        <v>0</v>
      </c>
      <c r="T50" s="6">
        <f t="shared" si="32"/>
        <v>0</v>
      </c>
      <c r="U50" s="6">
        <f t="shared" si="32"/>
        <v>0</v>
      </c>
      <c r="V50" s="6">
        <f t="shared" si="32"/>
        <v>0</v>
      </c>
    </row>
    <row r="51" spans="1:22">
      <c r="A51" s="32" t="s">
        <v>252</v>
      </c>
      <c r="B51" s="331">
        <v>0</v>
      </c>
      <c r="C51" s="6">
        <f>C49*$B$51</f>
        <v>0</v>
      </c>
      <c r="D51" s="6">
        <f>D49*$B$51</f>
        <v>0</v>
      </c>
      <c r="E51" s="6">
        <f t="shared" ref="E51:J51" si="33">E49*$B$51</f>
        <v>0</v>
      </c>
      <c r="F51" s="6">
        <f t="shared" si="33"/>
        <v>0</v>
      </c>
      <c r="G51" s="6">
        <f t="shared" si="33"/>
        <v>0</v>
      </c>
      <c r="H51" s="6">
        <f t="shared" si="33"/>
        <v>0</v>
      </c>
      <c r="I51" s="6">
        <f t="shared" si="33"/>
        <v>0</v>
      </c>
      <c r="J51" s="6">
        <f t="shared" si="33"/>
        <v>0</v>
      </c>
      <c r="K51" s="6">
        <f t="shared" ref="K51:V51" si="34">K49*$B$51</f>
        <v>0</v>
      </c>
      <c r="L51" s="6">
        <f t="shared" si="34"/>
        <v>0</v>
      </c>
      <c r="M51" s="6">
        <f t="shared" si="34"/>
        <v>0</v>
      </c>
      <c r="N51" s="6">
        <f t="shared" si="34"/>
        <v>0</v>
      </c>
      <c r="O51" s="6">
        <f t="shared" si="34"/>
        <v>0</v>
      </c>
      <c r="P51" s="6">
        <f t="shared" si="34"/>
        <v>0</v>
      </c>
      <c r="Q51" s="6">
        <f t="shared" si="34"/>
        <v>0</v>
      </c>
      <c r="R51" s="6">
        <f t="shared" si="34"/>
        <v>0</v>
      </c>
      <c r="S51" s="6">
        <f t="shared" si="34"/>
        <v>0</v>
      </c>
      <c r="T51" s="6">
        <f t="shared" si="34"/>
        <v>0</v>
      </c>
      <c r="U51" s="6">
        <f t="shared" si="34"/>
        <v>0</v>
      </c>
      <c r="V51" s="6">
        <f t="shared" si="34"/>
        <v>0</v>
      </c>
    </row>
    <row r="52" spans="1:22">
      <c r="A52" s="32" t="s">
        <v>165</v>
      </c>
      <c r="C52" s="6">
        <f t="shared" ref="C52:V52" si="35">-MIN(MAX(0,C46-50000)*$B$48,C49+C50+C51)</f>
        <v>0</v>
      </c>
      <c r="D52" s="6">
        <f t="shared" si="35"/>
        <v>0</v>
      </c>
      <c r="E52" s="6">
        <f t="shared" si="35"/>
        <v>0</v>
      </c>
      <c r="F52" s="6">
        <f t="shared" si="35"/>
        <v>0</v>
      </c>
      <c r="G52" s="6">
        <f t="shared" si="35"/>
        <v>0</v>
      </c>
      <c r="H52" s="6">
        <f t="shared" si="35"/>
        <v>0</v>
      </c>
      <c r="I52" s="6">
        <f t="shared" si="35"/>
        <v>0</v>
      </c>
      <c r="J52" s="6">
        <f t="shared" si="35"/>
        <v>0</v>
      </c>
      <c r="K52" s="6">
        <f t="shared" si="35"/>
        <v>0</v>
      </c>
      <c r="L52" s="6">
        <f t="shared" si="35"/>
        <v>0</v>
      </c>
      <c r="M52" s="6">
        <f t="shared" si="35"/>
        <v>0</v>
      </c>
      <c r="N52" s="6">
        <f t="shared" si="35"/>
        <v>0</v>
      </c>
      <c r="O52" s="6">
        <f t="shared" si="35"/>
        <v>0</v>
      </c>
      <c r="P52" s="6">
        <f t="shared" si="35"/>
        <v>0</v>
      </c>
      <c r="Q52" s="6">
        <f t="shared" si="35"/>
        <v>0</v>
      </c>
      <c r="R52" s="6">
        <f t="shared" si="35"/>
        <v>0</v>
      </c>
      <c r="S52" s="6">
        <f t="shared" si="35"/>
        <v>0</v>
      </c>
      <c r="T52" s="6">
        <f t="shared" si="35"/>
        <v>0</v>
      </c>
      <c r="U52" s="6">
        <f t="shared" si="35"/>
        <v>0</v>
      </c>
      <c r="V52" s="6">
        <f t="shared" si="35"/>
        <v>0</v>
      </c>
    </row>
    <row r="53" spans="1:22">
      <c r="A53" s="32" t="s">
        <v>253</v>
      </c>
      <c r="C53" s="6">
        <f>MAX(C52,-(C51+C50))</f>
        <v>0</v>
      </c>
      <c r="D53" s="6">
        <f>MAX(D52,-(D51+D50))</f>
        <v>0</v>
      </c>
      <c r="E53" s="6">
        <f t="shared" ref="E53:J53" si="36">MAX(E52,-(E51+E50))</f>
        <v>0</v>
      </c>
      <c r="F53" s="6">
        <f t="shared" si="36"/>
        <v>0</v>
      </c>
      <c r="G53" s="6">
        <f t="shared" si="36"/>
        <v>0</v>
      </c>
      <c r="H53" s="6">
        <f t="shared" si="36"/>
        <v>0</v>
      </c>
      <c r="I53" s="6">
        <f t="shared" si="36"/>
        <v>0</v>
      </c>
      <c r="J53" s="6">
        <f t="shared" si="36"/>
        <v>0</v>
      </c>
      <c r="K53" s="6">
        <f t="shared" ref="K53" si="37">MAX(K52,-(K51+K50))</f>
        <v>0</v>
      </c>
      <c r="L53" s="6">
        <f t="shared" ref="L53" si="38">MAX(L52,-(L51+L50))</f>
        <v>0</v>
      </c>
      <c r="M53" s="6">
        <f t="shared" ref="M53" si="39">MAX(M52,-(M51+M50))</f>
        <v>0</v>
      </c>
      <c r="N53" s="6">
        <f t="shared" ref="N53" si="40">MAX(N52,-(N51+N50))</f>
        <v>0</v>
      </c>
      <c r="O53" s="6">
        <f t="shared" ref="O53" si="41">MAX(O52,-(O51+O50))</f>
        <v>0</v>
      </c>
      <c r="P53" s="6">
        <f t="shared" ref="P53" si="42">MAX(P52,-(P51+P50))</f>
        <v>0</v>
      </c>
      <c r="Q53" s="6">
        <f t="shared" ref="Q53" si="43">MAX(Q52,-(Q51+Q50))</f>
        <v>0</v>
      </c>
      <c r="R53" s="6">
        <f t="shared" ref="R53" si="44">MAX(R52,-(R51+R50))</f>
        <v>0</v>
      </c>
      <c r="S53" s="6">
        <f t="shared" ref="S53" si="45">MAX(S52,-(S51+S50))</f>
        <v>0</v>
      </c>
      <c r="T53" s="6">
        <f t="shared" ref="T53" si="46">MAX(T52,-(T51+T50))</f>
        <v>0</v>
      </c>
      <c r="U53" s="6">
        <f t="shared" ref="U53" si="47">MAX(U52,-(U51+U50))</f>
        <v>0</v>
      </c>
      <c r="V53" s="6">
        <f t="shared" ref="V53" si="48">MAX(V52,-(V51+V50))</f>
        <v>0</v>
      </c>
    </row>
    <row r="54" spans="1:22">
      <c r="A54" s="32" t="s">
        <v>254</v>
      </c>
      <c r="C54" s="6">
        <f>MAX(0,C51+C53)</f>
        <v>0</v>
      </c>
      <c r="D54" s="6">
        <f>MAX(0,D50+D51+D53)</f>
        <v>0</v>
      </c>
      <c r="E54" s="6">
        <f t="shared" ref="E54:J54" si="49">MAX(0,E50+E51+E53)</f>
        <v>0</v>
      </c>
      <c r="F54" s="6">
        <f t="shared" si="49"/>
        <v>0</v>
      </c>
      <c r="G54" s="6">
        <f t="shared" si="49"/>
        <v>0</v>
      </c>
      <c r="H54" s="6">
        <f t="shared" si="49"/>
        <v>0</v>
      </c>
      <c r="I54" s="6">
        <f t="shared" si="49"/>
        <v>0</v>
      </c>
      <c r="J54" s="6">
        <f t="shared" si="49"/>
        <v>0</v>
      </c>
      <c r="K54" s="6">
        <f t="shared" ref="K54" si="50">MAX(0,K50+K51+K53)</f>
        <v>0</v>
      </c>
      <c r="L54" s="6">
        <f t="shared" ref="L54" si="51">MAX(0,L50+L51+L53)</f>
        <v>0</v>
      </c>
      <c r="M54" s="6">
        <f t="shared" ref="M54" si="52">MAX(0,M50+M51+M53)</f>
        <v>0</v>
      </c>
      <c r="N54" s="6">
        <f t="shared" ref="N54" si="53">MAX(0,N50+N51+N53)</f>
        <v>0</v>
      </c>
      <c r="O54" s="6">
        <f t="shared" ref="O54" si="54">MAX(0,O50+O51+O53)</f>
        <v>0</v>
      </c>
      <c r="P54" s="6">
        <f t="shared" ref="P54" si="55">MAX(0,P50+P51+P53)</f>
        <v>0</v>
      </c>
      <c r="Q54" s="6">
        <f t="shared" ref="Q54" si="56">MAX(0,Q50+Q51+Q53)</f>
        <v>0</v>
      </c>
      <c r="R54" s="6">
        <f t="shared" ref="R54" si="57">MAX(0,R50+R51+R53)</f>
        <v>0</v>
      </c>
      <c r="S54" s="6">
        <f t="shared" ref="S54" si="58">MAX(0,S50+S51+S53)</f>
        <v>0</v>
      </c>
      <c r="T54" s="6">
        <f t="shared" ref="T54" si="59">MAX(0,T50+T51+T53)</f>
        <v>0</v>
      </c>
      <c r="U54" s="6">
        <f t="shared" ref="U54" si="60">MAX(0,U50+U51+U53)</f>
        <v>0</v>
      </c>
      <c r="V54" s="6">
        <f t="shared" ref="V54" si="61">MAX(0,V50+V51+V53)</f>
        <v>0</v>
      </c>
    </row>
    <row r="55" spans="1:22">
      <c r="A55" s="32" t="s">
        <v>255</v>
      </c>
      <c r="C55" s="6">
        <f>C52-C53</f>
        <v>0</v>
      </c>
      <c r="D55" s="6">
        <f>D52-D53</f>
        <v>0</v>
      </c>
      <c r="E55" s="6">
        <f t="shared" ref="E55:J55" si="62">E52-E53</f>
        <v>0</v>
      </c>
      <c r="F55" s="6">
        <f t="shared" si="62"/>
        <v>0</v>
      </c>
      <c r="G55" s="6">
        <f t="shared" si="62"/>
        <v>0</v>
      </c>
      <c r="H55" s="6">
        <f t="shared" si="62"/>
        <v>0</v>
      </c>
      <c r="I55" s="6">
        <f t="shared" si="62"/>
        <v>0</v>
      </c>
      <c r="J55" s="6">
        <f t="shared" si="62"/>
        <v>0</v>
      </c>
      <c r="K55" s="6">
        <f t="shared" ref="K55:V55" si="63">K52-K53</f>
        <v>0</v>
      </c>
      <c r="L55" s="6">
        <f t="shared" si="63"/>
        <v>0</v>
      </c>
      <c r="M55" s="6">
        <f t="shared" si="63"/>
        <v>0</v>
      </c>
      <c r="N55" s="6">
        <f t="shared" si="63"/>
        <v>0</v>
      </c>
      <c r="O55" s="6">
        <f t="shared" si="63"/>
        <v>0</v>
      </c>
      <c r="P55" s="6">
        <f t="shared" si="63"/>
        <v>0</v>
      </c>
      <c r="Q55" s="6">
        <f t="shared" si="63"/>
        <v>0</v>
      </c>
      <c r="R55" s="6">
        <f t="shared" si="63"/>
        <v>0</v>
      </c>
      <c r="S55" s="6">
        <f t="shared" si="63"/>
        <v>0</v>
      </c>
      <c r="T55" s="6">
        <f t="shared" si="63"/>
        <v>0</v>
      </c>
      <c r="U55" s="6">
        <f t="shared" si="63"/>
        <v>0</v>
      </c>
      <c r="V55" s="6">
        <f t="shared" si="63"/>
        <v>0</v>
      </c>
    </row>
    <row r="56" spans="1:22">
      <c r="A56" s="33" t="s">
        <v>256</v>
      </c>
      <c r="B56" s="5"/>
      <c r="C56" s="3">
        <f>C49+C55</f>
        <v>0</v>
      </c>
      <c r="D56" s="3">
        <f>D49+D55</f>
        <v>0</v>
      </c>
      <c r="E56" s="3">
        <f t="shared" ref="E56:J56" si="64">E49+E55</f>
        <v>0</v>
      </c>
      <c r="F56" s="3">
        <f t="shared" si="64"/>
        <v>0</v>
      </c>
      <c r="G56" s="3">
        <f t="shared" si="64"/>
        <v>0</v>
      </c>
      <c r="H56" s="3">
        <f t="shared" si="64"/>
        <v>0</v>
      </c>
      <c r="I56" s="3">
        <f t="shared" si="64"/>
        <v>0</v>
      </c>
      <c r="J56" s="3">
        <f t="shared" si="64"/>
        <v>0</v>
      </c>
      <c r="K56" s="3">
        <f t="shared" ref="K56" si="65">K49+K55</f>
        <v>0</v>
      </c>
      <c r="L56" s="3">
        <f t="shared" ref="L56" si="66">L49+L55</f>
        <v>0</v>
      </c>
      <c r="M56" s="3">
        <f t="shared" ref="M56" si="67">M49+M55</f>
        <v>0</v>
      </c>
      <c r="N56" s="3">
        <f t="shared" ref="N56" si="68">N49+N55</f>
        <v>0</v>
      </c>
      <c r="O56" s="3">
        <f t="shared" ref="O56" si="69">O49+O55</f>
        <v>0</v>
      </c>
      <c r="P56" s="3">
        <f t="shared" ref="P56" si="70">P49+P55</f>
        <v>0</v>
      </c>
      <c r="Q56" s="3">
        <f t="shared" ref="Q56" si="71">Q49+Q55</f>
        <v>0</v>
      </c>
      <c r="R56" s="3">
        <f t="shared" ref="R56" si="72">R49+R55</f>
        <v>0</v>
      </c>
      <c r="S56" s="3">
        <f t="shared" ref="S56" si="73">S49+S55</f>
        <v>0</v>
      </c>
      <c r="T56" s="3">
        <f t="shared" ref="T56" si="74">T49+T55</f>
        <v>0</v>
      </c>
      <c r="U56" s="3">
        <f t="shared" ref="U56" si="75">U49+U55</f>
        <v>0</v>
      </c>
      <c r="V56" s="3">
        <f t="shared" ref="V56" si="76">V49+V55</f>
        <v>0</v>
      </c>
    </row>
    <row r="58" spans="1:22">
      <c r="A58" s="34" t="s">
        <v>378</v>
      </c>
      <c r="B58" s="35"/>
      <c r="C58" s="36">
        <f>C46+C52</f>
        <v>-3000</v>
      </c>
      <c r="D58" s="36">
        <f t="shared" ref="D58:V58" si="77">D46+D52</f>
        <v>-3090</v>
      </c>
      <c r="E58" s="36">
        <f t="shared" si="77"/>
        <v>-3182.7000000000003</v>
      </c>
      <c r="F58" s="36">
        <f t="shared" si="77"/>
        <v>-3278.1810000000005</v>
      </c>
      <c r="G58" s="36">
        <f t="shared" si="77"/>
        <v>-3376.5264300000008</v>
      </c>
      <c r="H58" s="36">
        <f t="shared" si="77"/>
        <v>-3477.8222229000007</v>
      </c>
      <c r="I58" s="36">
        <f t="shared" si="77"/>
        <v>-3582.1568895870009</v>
      </c>
      <c r="J58" s="36">
        <f t="shared" si="77"/>
        <v>-3689.621596274611</v>
      </c>
      <c r="K58" s="36">
        <f t="shared" si="77"/>
        <v>-3800.3102441628494</v>
      </c>
      <c r="L58" s="36">
        <f t="shared" si="77"/>
        <v>-3914.3195514877348</v>
      </c>
      <c r="M58" s="36">
        <f t="shared" si="77"/>
        <v>-4031.7491380323668</v>
      </c>
      <c r="N58" s="36">
        <f t="shared" si="77"/>
        <v>-4152.7016121733377</v>
      </c>
      <c r="O58" s="36">
        <f t="shared" si="77"/>
        <v>-4277.282660538538</v>
      </c>
      <c r="P58" s="36">
        <f t="shared" si="77"/>
        <v>-4405.6011403546945</v>
      </c>
      <c r="Q58" s="36">
        <f t="shared" si="77"/>
        <v>-4537.7691745653356</v>
      </c>
      <c r="R58" s="36">
        <f t="shared" si="77"/>
        <v>-4673.902249802296</v>
      </c>
      <c r="S58" s="36">
        <f t="shared" si="77"/>
        <v>-4814.1193172963649</v>
      </c>
      <c r="T58" s="36">
        <f t="shared" si="77"/>
        <v>-4958.5428968152564</v>
      </c>
      <c r="U58" s="36">
        <f t="shared" si="77"/>
        <v>-5107.2991837197142</v>
      </c>
      <c r="V58" s="36">
        <f t="shared" si="77"/>
        <v>-5260.5181592313056</v>
      </c>
    </row>
    <row r="60" spans="1:22" outlineLevel="1">
      <c r="A60" s="23" t="s">
        <v>49</v>
      </c>
      <c r="B60" s="24"/>
      <c r="C60" s="24"/>
      <c r="D60" s="24"/>
      <c r="E60" s="24"/>
      <c r="F60" s="24"/>
      <c r="I60" s="24"/>
      <c r="J60" s="24"/>
      <c r="K60" s="24"/>
      <c r="L60" s="24"/>
      <c r="M60" s="24"/>
      <c r="N60" s="24"/>
      <c r="O60" s="24"/>
      <c r="P60" s="24"/>
      <c r="Q60" s="24"/>
      <c r="R60" s="24"/>
      <c r="S60" s="24"/>
      <c r="T60" s="24"/>
      <c r="U60" s="24"/>
      <c r="V60" s="24"/>
    </row>
    <row r="61" spans="1:22" outlineLevel="1">
      <c r="A61" s="37" t="s">
        <v>51</v>
      </c>
      <c r="B61" s="332" t="s">
        <v>249</v>
      </c>
      <c r="C61" s="404">
        <f>-NPV(B62,C62:V62)</f>
        <v>80611.123466941426</v>
      </c>
      <c r="D61" s="28">
        <f>C64</f>
        <v>77611.123466941426</v>
      </c>
      <c r="E61" s="28">
        <f t="shared" ref="E61:V61" si="78">D64</f>
        <v>74521.123466941426</v>
      </c>
      <c r="F61" s="28">
        <f t="shared" si="78"/>
        <v>71338.423466941429</v>
      </c>
      <c r="G61" s="28">
        <f t="shared" si="78"/>
        <v>68060.242466941432</v>
      </c>
      <c r="H61" s="28">
        <f t="shared" si="78"/>
        <v>64683.716036941434</v>
      </c>
      <c r="I61" s="28">
        <f t="shared" si="78"/>
        <v>61205.893814041432</v>
      </c>
      <c r="J61" s="28">
        <f t="shared" si="78"/>
        <v>57623.736924454432</v>
      </c>
      <c r="K61" s="28">
        <f t="shared" si="78"/>
        <v>53934.115328179818</v>
      </c>
      <c r="L61" s="28">
        <f t="shared" si="78"/>
        <v>50133.805084016967</v>
      </c>
      <c r="M61" s="28">
        <f t="shared" si="78"/>
        <v>46219.48553252923</v>
      </c>
      <c r="N61" s="28">
        <f t="shared" si="78"/>
        <v>42187.73639449686</v>
      </c>
      <c r="O61" s="28">
        <f t="shared" si="78"/>
        <v>38035.034782323521</v>
      </c>
      <c r="P61" s="28">
        <f t="shared" si="78"/>
        <v>33757.752121784986</v>
      </c>
      <c r="Q61" s="28">
        <f t="shared" si="78"/>
        <v>29352.150981430292</v>
      </c>
      <c r="R61" s="28">
        <f t="shared" si="78"/>
        <v>24814.381806864956</v>
      </c>
      <c r="S61" s="28">
        <f t="shared" si="78"/>
        <v>20140.479557062659</v>
      </c>
      <c r="T61" s="28">
        <f t="shared" si="78"/>
        <v>15326.360239766294</v>
      </c>
      <c r="U61" s="28">
        <f t="shared" si="78"/>
        <v>10367.817342951039</v>
      </c>
      <c r="V61" s="38">
        <f t="shared" si="78"/>
        <v>5260.5181592313247</v>
      </c>
    </row>
    <row r="62" spans="1:22" outlineLevel="1">
      <c r="A62" s="39" t="s">
        <v>50</v>
      </c>
      <c r="B62" s="331">
        <v>0</v>
      </c>
      <c r="C62" s="6">
        <f t="shared" ref="C62:V62" si="79">MIN(C32,0)</f>
        <v>-3000</v>
      </c>
      <c r="D62" s="6">
        <f t="shared" si="79"/>
        <v>-3090</v>
      </c>
      <c r="E62" s="6">
        <f t="shared" si="79"/>
        <v>-3182.7000000000003</v>
      </c>
      <c r="F62" s="6">
        <f t="shared" si="79"/>
        <v>-3278.1810000000005</v>
      </c>
      <c r="G62" s="6">
        <f t="shared" si="79"/>
        <v>-3376.5264300000008</v>
      </c>
      <c r="H62" s="6">
        <f t="shared" si="79"/>
        <v>-3477.8222229000007</v>
      </c>
      <c r="I62" s="6">
        <f t="shared" si="79"/>
        <v>-3582.1568895870009</v>
      </c>
      <c r="J62" s="6">
        <f t="shared" si="79"/>
        <v>-3689.621596274611</v>
      </c>
      <c r="K62" s="6">
        <f t="shared" si="79"/>
        <v>-3800.3102441628494</v>
      </c>
      <c r="L62" s="6">
        <f t="shared" si="79"/>
        <v>-3914.3195514877348</v>
      </c>
      <c r="M62" s="6">
        <f t="shared" si="79"/>
        <v>-4031.7491380323668</v>
      </c>
      <c r="N62" s="6">
        <f t="shared" si="79"/>
        <v>-4152.7016121733377</v>
      </c>
      <c r="O62" s="6">
        <f t="shared" si="79"/>
        <v>-4277.282660538538</v>
      </c>
      <c r="P62" s="6">
        <f t="shared" si="79"/>
        <v>-4405.6011403546945</v>
      </c>
      <c r="Q62" s="6">
        <f t="shared" si="79"/>
        <v>-4537.7691745653356</v>
      </c>
      <c r="R62" s="6">
        <f t="shared" si="79"/>
        <v>-4673.902249802296</v>
      </c>
      <c r="S62" s="6">
        <f t="shared" si="79"/>
        <v>-4814.1193172963649</v>
      </c>
      <c r="T62" s="6">
        <f t="shared" si="79"/>
        <v>-4958.5428968152564</v>
      </c>
      <c r="U62" s="6">
        <f t="shared" si="79"/>
        <v>-5107.2991837197142</v>
      </c>
      <c r="V62" s="40">
        <f t="shared" si="79"/>
        <v>-5260.5181592313056</v>
      </c>
    </row>
    <row r="63" spans="1:22" outlineLevel="1">
      <c r="A63" s="39" t="s">
        <v>53</v>
      </c>
      <c r="C63" s="6">
        <f t="shared" ref="C63:V63" si="80">C61*$B$62</f>
        <v>0</v>
      </c>
      <c r="D63" s="6">
        <f t="shared" si="80"/>
        <v>0</v>
      </c>
      <c r="E63" s="6">
        <f t="shared" si="80"/>
        <v>0</v>
      </c>
      <c r="F63" s="6">
        <f t="shared" si="80"/>
        <v>0</v>
      </c>
      <c r="G63" s="6">
        <f t="shared" si="80"/>
        <v>0</v>
      </c>
      <c r="H63" s="6">
        <f t="shared" si="80"/>
        <v>0</v>
      </c>
      <c r="I63" s="6">
        <f t="shared" si="80"/>
        <v>0</v>
      </c>
      <c r="J63" s="6">
        <f t="shared" si="80"/>
        <v>0</v>
      </c>
      <c r="K63" s="6">
        <f t="shared" si="80"/>
        <v>0</v>
      </c>
      <c r="L63" s="6">
        <f t="shared" si="80"/>
        <v>0</v>
      </c>
      <c r="M63" s="6">
        <f t="shared" si="80"/>
        <v>0</v>
      </c>
      <c r="N63" s="6">
        <f t="shared" si="80"/>
        <v>0</v>
      </c>
      <c r="O63" s="6">
        <f t="shared" si="80"/>
        <v>0</v>
      </c>
      <c r="P63" s="6">
        <f t="shared" si="80"/>
        <v>0</v>
      </c>
      <c r="Q63" s="6">
        <f t="shared" si="80"/>
        <v>0</v>
      </c>
      <c r="R63" s="6">
        <f t="shared" si="80"/>
        <v>0</v>
      </c>
      <c r="S63" s="6">
        <f t="shared" si="80"/>
        <v>0</v>
      </c>
      <c r="T63" s="6">
        <f t="shared" si="80"/>
        <v>0</v>
      </c>
      <c r="U63" s="6">
        <f t="shared" si="80"/>
        <v>0</v>
      </c>
      <c r="V63" s="40">
        <f t="shared" si="80"/>
        <v>0</v>
      </c>
    </row>
    <row r="64" spans="1:22" outlineLevel="1">
      <c r="A64" s="41" t="s">
        <v>52</v>
      </c>
      <c r="B64" s="5"/>
      <c r="C64" s="3">
        <f>C61+C62+C63</f>
        <v>77611.123466941426</v>
      </c>
      <c r="D64" s="3">
        <f t="shared" ref="D64:V64" si="81">D61+D62+D63</f>
        <v>74521.123466941426</v>
      </c>
      <c r="E64" s="3">
        <f t="shared" si="81"/>
        <v>71338.423466941429</v>
      </c>
      <c r="F64" s="3">
        <f t="shared" si="81"/>
        <v>68060.242466941432</v>
      </c>
      <c r="G64" s="3">
        <f t="shared" si="81"/>
        <v>64683.716036941434</v>
      </c>
      <c r="H64" s="3">
        <f t="shared" si="81"/>
        <v>61205.893814041432</v>
      </c>
      <c r="I64" s="3">
        <f t="shared" si="81"/>
        <v>57623.736924454432</v>
      </c>
      <c r="J64" s="3">
        <f t="shared" si="81"/>
        <v>53934.115328179818</v>
      </c>
      <c r="K64" s="3">
        <f t="shared" si="81"/>
        <v>50133.805084016967</v>
      </c>
      <c r="L64" s="3">
        <f t="shared" si="81"/>
        <v>46219.48553252923</v>
      </c>
      <c r="M64" s="3">
        <f t="shared" si="81"/>
        <v>42187.73639449686</v>
      </c>
      <c r="N64" s="3">
        <f t="shared" si="81"/>
        <v>38035.034782323521</v>
      </c>
      <c r="O64" s="3">
        <f t="shared" si="81"/>
        <v>33757.752121784986</v>
      </c>
      <c r="P64" s="3">
        <f t="shared" si="81"/>
        <v>29352.150981430292</v>
      </c>
      <c r="Q64" s="3">
        <f t="shared" si="81"/>
        <v>24814.381806864956</v>
      </c>
      <c r="R64" s="3">
        <f t="shared" si="81"/>
        <v>20140.479557062659</v>
      </c>
      <c r="S64" s="3">
        <f t="shared" si="81"/>
        <v>15326.360239766294</v>
      </c>
      <c r="T64" s="3">
        <f t="shared" si="81"/>
        <v>10367.817342951039</v>
      </c>
      <c r="U64" s="3">
        <f t="shared" si="81"/>
        <v>5260.5181592313247</v>
      </c>
      <c r="V64" s="42">
        <f t="shared" si="81"/>
        <v>1.9099388737231493E-11</v>
      </c>
    </row>
  </sheetData>
  <sheetProtection algorithmName="SHA-512" hashValue="wn7BfDmwxNFTgm4wQV5TIvkmynrnnbthPpAXgokuZUGTZ8KAa5VHep4RME+wIQasoZp5vy4I7Lcp4ZPb9PgcNA==" saltValue="4NXIHim34dda0d5mfW7rbQ==" spinCount="100000" sheet="1" objects="1" scenarios="1"/>
  <mergeCells count="1">
    <mergeCell ref="M1:O1"/>
  </mergeCells>
  <phoneticPr fontId="0" type="noConversion"/>
  <pageMargins left="0.75" right="0.75" top="1" bottom="1" header="0.5" footer="0.5"/>
  <pageSetup scale="66" fitToWidth="2" orientation="landscape" r:id="rId1"/>
  <headerFooter alignWithMargins="0"/>
  <colBreaks count="1" manualBreakCount="1">
    <brk id="12"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9"/>
  <sheetViews>
    <sheetView showGridLines="0" tabSelected="1" topLeftCell="A107" workbookViewId="0">
      <selection activeCell="C139" sqref="C139"/>
    </sheetView>
  </sheetViews>
  <sheetFormatPr defaultColWidth="9.05859375" defaultRowHeight="13.7"/>
  <cols>
    <col min="1" max="1" width="1.8203125" style="183" customWidth="1"/>
    <col min="2" max="2" width="28.3515625" style="183" customWidth="1"/>
    <col min="3" max="3" width="20.05859375" style="79" customWidth="1"/>
    <col min="4" max="4" width="9" style="79" customWidth="1"/>
    <col min="5" max="5" width="12.29296875" style="183" bestFit="1" customWidth="1"/>
    <col min="6" max="6" width="15.3515625" style="183" customWidth="1"/>
    <col min="7" max="7" width="11.3515625" style="183" customWidth="1"/>
    <col min="8" max="8" width="14.29296875" style="183" customWidth="1"/>
    <col min="9" max="9" width="3" style="183" customWidth="1"/>
    <col min="10" max="10" width="11" style="183" bestFit="1" customWidth="1"/>
    <col min="11" max="11" width="4.05859375" style="183" bestFit="1" customWidth="1"/>
    <col min="12" max="12" width="11.5859375" style="183" customWidth="1"/>
    <col min="13" max="13" width="4.05859375" style="183" customWidth="1"/>
    <col min="14" max="14" width="63.5859375" style="183" customWidth="1"/>
    <col min="15" max="16384" width="9.05859375" style="183"/>
  </cols>
  <sheetData>
    <row r="1" spans="1:14" s="77" customFormat="1" ht="15.35">
      <c r="A1" s="76"/>
      <c r="B1" s="531" t="s">
        <v>69</v>
      </c>
      <c r="C1" s="532"/>
      <c r="D1" s="532"/>
      <c r="E1" s="532"/>
      <c r="F1" s="532"/>
      <c r="G1" s="532"/>
      <c r="H1" s="532"/>
      <c r="I1" s="532"/>
      <c r="J1" s="532"/>
      <c r="K1" s="532"/>
      <c r="L1" s="532"/>
      <c r="M1" s="532"/>
      <c r="N1" s="533"/>
    </row>
    <row r="2" spans="1:14" s="76" customFormat="1" ht="12.7">
      <c r="B2" s="78" t="str">
        <f>("Project: "&amp;Project)</f>
        <v xml:space="preserve">Project: </v>
      </c>
      <c r="C2" s="79"/>
      <c r="D2" s="78" t="str">
        <f>("Developer: "&amp;Developer)</f>
        <v xml:space="preserve">Developer: </v>
      </c>
    </row>
    <row r="3" spans="1:14" s="76" customFormat="1" ht="12.7">
      <c r="B3" s="80"/>
      <c r="C3" s="81"/>
      <c r="D3" s="81"/>
      <c r="E3" s="82"/>
      <c r="F3" s="83"/>
      <c r="G3" s="84" t="s">
        <v>41</v>
      </c>
      <c r="H3" s="84"/>
      <c r="J3" s="85" t="s">
        <v>163</v>
      </c>
      <c r="K3" s="85"/>
      <c r="L3" s="85"/>
    </row>
    <row r="4" spans="1:14" s="76" customFormat="1" ht="12.7">
      <c r="B4" s="86" t="s">
        <v>309</v>
      </c>
      <c r="C4" s="87"/>
      <c r="D4" s="87"/>
      <c r="E4" s="88"/>
      <c r="F4" s="89"/>
      <c r="G4" s="89"/>
      <c r="H4" s="90"/>
      <c r="I4" s="91"/>
      <c r="J4" s="92" t="s">
        <v>162</v>
      </c>
      <c r="K4" s="91"/>
      <c r="L4" s="93" t="s">
        <v>320</v>
      </c>
      <c r="N4" s="85" t="s">
        <v>107</v>
      </c>
    </row>
    <row r="5" spans="1:14" s="76" customFormat="1" ht="12.7">
      <c r="B5" s="94" t="s">
        <v>306</v>
      </c>
      <c r="C5" s="95"/>
      <c r="D5" s="96"/>
      <c r="E5" s="97"/>
      <c r="F5" s="98"/>
      <c r="G5" s="99"/>
      <c r="H5" s="100" t="e">
        <f>G5/Units</f>
        <v>#DIV/0!</v>
      </c>
      <c r="J5" s="118"/>
      <c r="L5" s="101">
        <f t="shared" ref="L5:L7" si="0">G5</f>
        <v>0</v>
      </c>
      <c r="N5" s="405"/>
    </row>
    <row r="6" spans="1:14" s="76" customFormat="1" ht="12.7">
      <c r="B6" s="94" t="s">
        <v>307</v>
      </c>
      <c r="C6" s="95"/>
      <c r="D6" s="96"/>
      <c r="E6" s="97"/>
      <c r="F6" s="98"/>
      <c r="G6" s="102"/>
      <c r="H6" s="100" t="e">
        <f>G6/Units</f>
        <v>#DIV/0!</v>
      </c>
      <c r="J6" s="103">
        <f t="shared" ref="J6" si="1">G6</f>
        <v>0</v>
      </c>
      <c r="L6" s="101">
        <f t="shared" si="0"/>
        <v>0</v>
      </c>
      <c r="N6" s="405"/>
    </row>
    <row r="7" spans="1:14" s="76" customFormat="1" ht="12.7">
      <c r="B7" s="104" t="s">
        <v>308</v>
      </c>
      <c r="C7" s="105"/>
      <c r="D7" s="105"/>
      <c r="E7" s="106"/>
      <c r="F7" s="107"/>
      <c r="G7" s="102"/>
      <c r="H7" s="100" t="e">
        <f>G7/Units</f>
        <v>#DIV/0!</v>
      </c>
      <c r="I7" s="91"/>
      <c r="J7" s="108"/>
      <c r="L7" s="103">
        <f t="shared" si="0"/>
        <v>0</v>
      </c>
      <c r="N7" s="405"/>
    </row>
    <row r="8" spans="1:14" s="76" customFormat="1" ht="12.7">
      <c r="B8" s="80"/>
      <c r="C8" s="95"/>
      <c r="D8" s="96"/>
      <c r="E8" s="97"/>
      <c r="F8" s="98" t="s">
        <v>71</v>
      </c>
      <c r="G8" s="109">
        <f>SUM(G5:G7)</f>
        <v>0</v>
      </c>
      <c r="H8" s="109" t="e">
        <f>G8/Units</f>
        <v>#DIV/0!</v>
      </c>
      <c r="J8" s="110">
        <f>SUM(J5:J7)</f>
        <v>0</v>
      </c>
      <c r="L8" s="110">
        <f>SUM(L5:L7)</f>
        <v>0</v>
      </c>
    </row>
    <row r="9" spans="1:14" s="76" customFormat="1" ht="12.7">
      <c r="B9" s="111"/>
      <c r="C9" s="87"/>
      <c r="D9" s="112"/>
      <c r="E9" s="113"/>
      <c r="F9" s="113"/>
      <c r="G9" s="89"/>
      <c r="H9" s="113"/>
      <c r="I9" s="91"/>
      <c r="J9" s="114"/>
      <c r="K9" s="91"/>
      <c r="L9" s="114"/>
    </row>
    <row r="10" spans="1:14" s="76" customFormat="1" ht="12.7">
      <c r="B10" s="115" t="s">
        <v>194</v>
      </c>
      <c r="C10" s="87" t="s">
        <v>355</v>
      </c>
      <c r="D10" s="87"/>
      <c r="E10" s="87"/>
      <c r="F10" s="113" t="s">
        <v>243</v>
      </c>
      <c r="G10" s="99"/>
      <c r="H10" s="116" t="e">
        <f>G10/Units</f>
        <v>#DIV/0!</v>
      </c>
      <c r="I10" s="91"/>
      <c r="J10" s="126"/>
      <c r="K10" s="91"/>
      <c r="L10" s="118"/>
      <c r="N10" s="405" t="s">
        <v>370</v>
      </c>
    </row>
    <row r="11" spans="1:14" s="76" customFormat="1" ht="12.7">
      <c r="B11" s="80"/>
      <c r="C11" s="95"/>
      <c r="D11" s="96"/>
      <c r="E11" s="97"/>
      <c r="F11" s="98"/>
      <c r="G11" s="109"/>
      <c r="H11" s="109"/>
      <c r="J11" s="110"/>
      <c r="L11" s="110"/>
    </row>
    <row r="12" spans="1:14" s="76" customFormat="1" ht="12.7">
      <c r="B12" s="117" t="s">
        <v>193</v>
      </c>
      <c r="C12" s="87" t="s">
        <v>354</v>
      </c>
      <c r="D12" s="112"/>
      <c r="E12" s="113"/>
      <c r="F12" s="113"/>
      <c r="G12" s="89"/>
      <c r="H12" s="90"/>
      <c r="I12" s="91"/>
      <c r="J12" s="114"/>
      <c r="K12" s="91"/>
      <c r="L12" s="114"/>
    </row>
    <row r="13" spans="1:14" s="76" customFormat="1" ht="12.7">
      <c r="B13" s="80" t="s">
        <v>192</v>
      </c>
      <c r="C13" s="95"/>
      <c r="D13" s="96"/>
      <c r="E13" s="97"/>
      <c r="F13" s="98"/>
      <c r="G13" s="99"/>
      <c r="H13" s="100" t="e">
        <f t="shared" ref="H13:H15" si="2">G13/Units</f>
        <v>#DIV/0!</v>
      </c>
      <c r="J13" s="118"/>
      <c r="L13" s="101">
        <f t="shared" ref="L13:L15" si="3">G13</f>
        <v>0</v>
      </c>
      <c r="N13" s="405"/>
    </row>
    <row r="14" spans="1:14" s="76" customFormat="1" ht="12.7">
      <c r="B14" s="80" t="s">
        <v>195</v>
      </c>
      <c r="C14" s="95"/>
      <c r="D14" s="96"/>
      <c r="E14" s="97"/>
      <c r="F14" s="98"/>
      <c r="G14" s="102"/>
      <c r="H14" s="100" t="e">
        <f t="shared" si="2"/>
        <v>#DIV/0!</v>
      </c>
      <c r="J14" s="103">
        <f t="shared" ref="J14:J15" si="4">G14</f>
        <v>0</v>
      </c>
      <c r="L14" s="103">
        <f t="shared" si="3"/>
        <v>0</v>
      </c>
      <c r="N14" s="405"/>
    </row>
    <row r="15" spans="1:14" s="76" customFormat="1" ht="12.7">
      <c r="B15" s="530" t="s">
        <v>138</v>
      </c>
      <c r="C15" s="530"/>
      <c r="D15" s="96"/>
      <c r="E15" s="97"/>
      <c r="F15" s="98"/>
      <c r="G15" s="102"/>
      <c r="H15" s="100" t="e">
        <f t="shared" si="2"/>
        <v>#DIV/0!</v>
      </c>
      <c r="J15" s="103">
        <f t="shared" si="4"/>
        <v>0</v>
      </c>
      <c r="L15" s="103">
        <f t="shared" si="3"/>
        <v>0</v>
      </c>
      <c r="N15" s="405"/>
    </row>
    <row r="16" spans="1:14" s="76" customFormat="1" ht="12.7">
      <c r="B16" s="80"/>
      <c r="C16" s="95"/>
      <c r="D16" s="96"/>
      <c r="E16" s="97"/>
      <c r="F16" s="119" t="s">
        <v>204</v>
      </c>
      <c r="G16" s="120">
        <f>SUM(G13:G15)</f>
        <v>0</v>
      </c>
      <c r="H16" s="109"/>
      <c r="J16" s="110"/>
      <c r="L16" s="110"/>
    </row>
    <row r="17" spans="1:14" s="76" customFormat="1" ht="12.7">
      <c r="B17" s="117" t="s">
        <v>196</v>
      </c>
      <c r="C17" s="87" t="s">
        <v>354</v>
      </c>
      <c r="D17" s="112"/>
      <c r="E17" s="113"/>
      <c r="F17" s="113"/>
      <c r="G17" s="89"/>
      <c r="H17" s="90"/>
      <c r="I17" s="91"/>
      <c r="J17" s="114"/>
      <c r="K17" s="91"/>
      <c r="L17" s="114"/>
    </row>
    <row r="18" spans="1:14" s="76" customFormat="1" ht="12.7">
      <c r="B18" s="80" t="s">
        <v>197</v>
      </c>
      <c r="C18" s="95"/>
      <c r="D18" s="96"/>
      <c r="E18" s="97"/>
      <c r="F18" s="98"/>
      <c r="G18" s="99"/>
      <c r="H18" s="100" t="e">
        <f t="shared" ref="H18:H23" si="5">G18/Units</f>
        <v>#DIV/0!</v>
      </c>
      <c r="J18" s="101">
        <f t="shared" ref="J18:J23" si="6">G18</f>
        <v>0</v>
      </c>
      <c r="L18" s="101">
        <f t="shared" ref="L18:L23" si="7">G18</f>
        <v>0</v>
      </c>
      <c r="N18" s="405"/>
    </row>
    <row r="19" spans="1:14" s="76" customFormat="1" ht="12.7">
      <c r="B19" s="80" t="s">
        <v>198</v>
      </c>
      <c r="C19" s="95"/>
      <c r="D19" s="96"/>
      <c r="E19" s="97"/>
      <c r="F19" s="98"/>
      <c r="G19" s="102"/>
      <c r="H19" s="100" t="e">
        <f t="shared" si="5"/>
        <v>#DIV/0!</v>
      </c>
      <c r="J19" s="103">
        <f t="shared" si="6"/>
        <v>0</v>
      </c>
      <c r="L19" s="133"/>
      <c r="N19" s="405"/>
    </row>
    <row r="20" spans="1:14" s="76" customFormat="1" ht="12.7">
      <c r="B20" s="80" t="s">
        <v>199</v>
      </c>
      <c r="C20" s="95"/>
      <c r="D20" s="96"/>
      <c r="E20" s="97"/>
      <c r="F20" s="98"/>
      <c r="G20" s="102"/>
      <c r="H20" s="100" t="e">
        <f t="shared" si="5"/>
        <v>#DIV/0!</v>
      </c>
      <c r="J20" s="103">
        <f t="shared" si="6"/>
        <v>0</v>
      </c>
      <c r="L20" s="133"/>
      <c r="N20" s="405"/>
    </row>
    <row r="21" spans="1:14" s="76" customFormat="1" ht="12.7">
      <c r="B21" s="80" t="s">
        <v>200</v>
      </c>
      <c r="C21" s="95"/>
      <c r="D21" s="96"/>
      <c r="E21" s="97"/>
      <c r="F21" s="98"/>
      <c r="G21" s="102"/>
      <c r="H21" s="100" t="e">
        <f t="shared" si="5"/>
        <v>#DIV/0!</v>
      </c>
      <c r="J21" s="103">
        <f t="shared" ref="J21:J22" si="8">G21</f>
        <v>0</v>
      </c>
      <c r="L21" s="103">
        <f t="shared" ref="L21:L22" si="9">G21</f>
        <v>0</v>
      </c>
      <c r="N21" s="405"/>
    </row>
    <row r="22" spans="1:14" s="76" customFormat="1" ht="12.7">
      <c r="B22" s="530" t="s">
        <v>138</v>
      </c>
      <c r="C22" s="530"/>
      <c r="D22" s="96"/>
      <c r="E22" s="97"/>
      <c r="F22" s="98"/>
      <c r="G22" s="102"/>
      <c r="H22" s="100" t="e">
        <f t="shared" si="5"/>
        <v>#DIV/0!</v>
      </c>
      <c r="J22" s="103">
        <f t="shared" si="8"/>
        <v>0</v>
      </c>
      <c r="L22" s="103">
        <f t="shared" si="9"/>
        <v>0</v>
      </c>
      <c r="N22" s="405"/>
    </row>
    <row r="23" spans="1:14" s="76" customFormat="1" ht="12.7">
      <c r="B23" s="529" t="s">
        <v>138</v>
      </c>
      <c r="C23" s="529"/>
      <c r="D23" s="112"/>
      <c r="E23" s="113"/>
      <c r="F23" s="113"/>
      <c r="G23" s="102"/>
      <c r="H23" s="100" t="e">
        <f t="shared" si="5"/>
        <v>#DIV/0!</v>
      </c>
      <c r="I23" s="91"/>
      <c r="J23" s="103">
        <f t="shared" si="6"/>
        <v>0</v>
      </c>
      <c r="K23" s="91"/>
      <c r="L23" s="103">
        <f t="shared" si="7"/>
        <v>0</v>
      </c>
      <c r="N23" s="405"/>
    </row>
    <row r="24" spans="1:14" s="76" customFormat="1" ht="12.7">
      <c r="B24" s="80"/>
      <c r="C24" s="95"/>
      <c r="D24" s="96"/>
      <c r="E24" s="97"/>
      <c r="F24" s="119" t="s">
        <v>204</v>
      </c>
      <c r="G24" s="120">
        <f>SUM(G18:G23)</f>
        <v>0</v>
      </c>
      <c r="H24" s="109"/>
      <c r="J24" s="110"/>
      <c r="L24" s="110"/>
    </row>
    <row r="25" spans="1:14" s="76" customFormat="1" ht="12.7">
      <c r="B25" s="80"/>
      <c r="C25" s="95"/>
      <c r="D25" s="96"/>
      <c r="E25" s="97"/>
      <c r="F25" s="98"/>
      <c r="G25" s="97"/>
      <c r="H25" s="97"/>
      <c r="J25" s="110"/>
      <c r="L25" s="110"/>
    </row>
    <row r="26" spans="1:14" s="76" customFormat="1" ht="12.7">
      <c r="A26" s="91"/>
      <c r="B26" s="117" t="s">
        <v>202</v>
      </c>
      <c r="C26" s="87"/>
      <c r="D26" s="87"/>
      <c r="E26" s="88"/>
      <c r="F26" s="89"/>
      <c r="G26" s="89"/>
      <c r="H26" s="90"/>
      <c r="I26" s="91"/>
      <c r="J26" s="91"/>
      <c r="K26" s="91"/>
      <c r="L26" s="91"/>
    </row>
    <row r="27" spans="1:14" s="76" customFormat="1" ht="12.7">
      <c r="B27" s="122" t="s">
        <v>173</v>
      </c>
      <c r="C27" s="95"/>
      <c r="D27" s="95"/>
      <c r="E27" s="123"/>
      <c r="F27" s="124"/>
      <c r="G27" s="99"/>
      <c r="H27" s="100" t="e">
        <f t="shared" ref="H27:H32" si="10">G27/Units</f>
        <v>#DIV/0!</v>
      </c>
      <c r="J27" s="101">
        <f t="shared" ref="J27:J29" si="11">G27</f>
        <v>0</v>
      </c>
      <c r="L27" s="101">
        <f t="shared" ref="L27" si="12">G27</f>
        <v>0</v>
      </c>
      <c r="N27" s="405"/>
    </row>
    <row r="28" spans="1:14" s="76" customFormat="1" ht="12.7">
      <c r="B28" s="125" t="s">
        <v>201</v>
      </c>
      <c r="C28" s="95"/>
      <c r="D28" s="95"/>
      <c r="E28" s="95"/>
      <c r="F28" s="95"/>
      <c r="G28" s="102"/>
      <c r="H28" s="100" t="e">
        <f>G28/Units</f>
        <v>#DIV/0!</v>
      </c>
      <c r="J28" s="126">
        <f t="shared" si="11"/>
        <v>0</v>
      </c>
      <c r="L28" s="133"/>
      <c r="N28" s="405"/>
    </row>
    <row r="29" spans="1:14" s="76" customFormat="1" ht="12.7">
      <c r="B29" s="125" t="s">
        <v>374</v>
      </c>
      <c r="C29" s="95"/>
      <c r="D29" s="95"/>
      <c r="E29" s="95"/>
      <c r="F29" s="95"/>
      <c r="G29" s="102"/>
      <c r="H29" s="100" t="e">
        <f t="shared" si="10"/>
        <v>#DIV/0!</v>
      </c>
      <c r="J29" s="103">
        <f t="shared" si="11"/>
        <v>0</v>
      </c>
      <c r="L29" s="103">
        <f>G29</f>
        <v>0</v>
      </c>
      <c r="N29" s="405"/>
    </row>
    <row r="30" spans="1:14" s="76" customFormat="1" ht="12.7">
      <c r="B30" s="125"/>
      <c r="C30" s="95"/>
      <c r="D30" s="79"/>
      <c r="E30" s="127" t="s">
        <v>236</v>
      </c>
      <c r="F30" s="343">
        <f>+G16+G24+SUM(G27:G29)</f>
        <v>0</v>
      </c>
      <c r="G30" s="128"/>
      <c r="H30" s="128"/>
      <c r="N30" s="405"/>
    </row>
    <row r="31" spans="1:14" s="76" customFormat="1" ht="12.7">
      <c r="B31" s="129" t="s">
        <v>74</v>
      </c>
      <c r="C31" s="81"/>
      <c r="D31" s="130"/>
      <c r="E31" s="333" t="e">
        <f>G31/$F$30</f>
        <v>#DIV/0!</v>
      </c>
      <c r="F31" s="344" t="s">
        <v>235</v>
      </c>
      <c r="G31" s="102">
        <f>6%*F30</f>
        <v>0</v>
      </c>
      <c r="H31" s="100" t="e">
        <f t="shared" si="10"/>
        <v>#DIV/0!</v>
      </c>
      <c r="J31" s="103">
        <f>G31</f>
        <v>0</v>
      </c>
      <c r="L31" s="103">
        <f t="shared" ref="L31:L33" si="13">G31</f>
        <v>0</v>
      </c>
      <c r="N31" s="405"/>
    </row>
    <row r="32" spans="1:14" s="76" customFormat="1" ht="12.7">
      <c r="B32" s="129" t="s">
        <v>73</v>
      </c>
      <c r="C32" s="81"/>
      <c r="D32" s="130"/>
      <c r="E32" s="333" t="e">
        <f t="shared" ref="E32:E34" si="14">G32/$F$30</f>
        <v>#DIV/0!</v>
      </c>
      <c r="F32" s="344" t="s">
        <v>235</v>
      </c>
      <c r="G32" s="102">
        <f>2%*F30</f>
        <v>0</v>
      </c>
      <c r="H32" s="100" t="e">
        <f t="shared" si="10"/>
        <v>#DIV/0!</v>
      </c>
      <c r="J32" s="103">
        <f t="shared" ref="J32:J35" si="15">G32</f>
        <v>0</v>
      </c>
      <c r="L32" s="103">
        <f t="shared" si="13"/>
        <v>0</v>
      </c>
      <c r="N32" s="405"/>
    </row>
    <row r="33" spans="2:14" s="76" customFormat="1" ht="12.7">
      <c r="B33" s="129" t="s">
        <v>128</v>
      </c>
      <c r="C33" s="336" t="e">
        <f>("Total Contractor Fees: "&amp;ROUND((SUM(E31:E33)*100),2)&amp;"%")</f>
        <v>#DIV/0!</v>
      </c>
      <c r="D33" s="334"/>
      <c r="E33" s="333" t="e">
        <f t="shared" si="14"/>
        <v>#DIV/0!</v>
      </c>
      <c r="F33" s="344" t="s">
        <v>235</v>
      </c>
      <c r="G33" s="102">
        <f>6%*F30</f>
        <v>0</v>
      </c>
      <c r="H33" s="100" t="e">
        <f>G33/Units</f>
        <v>#DIV/0!</v>
      </c>
      <c r="J33" s="103">
        <f t="shared" si="15"/>
        <v>0</v>
      </c>
      <c r="L33" s="103">
        <f t="shared" si="13"/>
        <v>0</v>
      </c>
      <c r="N33" s="405"/>
    </row>
    <row r="34" spans="2:14" s="76" customFormat="1" ht="12.7">
      <c r="B34" s="129" t="s">
        <v>148</v>
      </c>
      <c r="C34" s="81"/>
      <c r="D34" s="81"/>
      <c r="E34" s="337" t="e">
        <f t="shared" si="14"/>
        <v>#DIV/0!</v>
      </c>
      <c r="F34" s="345" t="s">
        <v>235</v>
      </c>
      <c r="G34" s="102"/>
      <c r="H34" s="100" t="e">
        <f>G34/Units</f>
        <v>#DIV/0!</v>
      </c>
      <c r="J34" s="126">
        <f t="shared" si="15"/>
        <v>0</v>
      </c>
      <c r="L34" s="133"/>
      <c r="N34" s="405"/>
    </row>
    <row r="35" spans="2:14" s="76" customFormat="1" ht="12.7">
      <c r="B35" s="530" t="s">
        <v>138</v>
      </c>
      <c r="C35" s="530"/>
      <c r="D35" s="81"/>
      <c r="E35" s="131"/>
      <c r="F35" s="124"/>
      <c r="G35" s="102"/>
      <c r="H35" s="100" t="e">
        <f>G35/Units</f>
        <v>#DIV/0!</v>
      </c>
      <c r="J35" s="103">
        <f t="shared" si="15"/>
        <v>0</v>
      </c>
      <c r="L35" s="103">
        <f t="shared" ref="L35:L36" si="16">G35</f>
        <v>0</v>
      </c>
      <c r="N35" s="405"/>
    </row>
    <row r="36" spans="2:14" s="76" customFormat="1" ht="12.7">
      <c r="B36" s="529" t="s">
        <v>138</v>
      </c>
      <c r="C36" s="529"/>
      <c r="D36" s="91"/>
      <c r="E36" s="91"/>
      <c r="F36" s="91"/>
      <c r="G36" s="102"/>
      <c r="H36" s="100" t="e">
        <f>G34/Units</f>
        <v>#DIV/0!</v>
      </c>
      <c r="I36" s="91"/>
      <c r="J36" s="103">
        <f t="shared" ref="J36" si="17">G36</f>
        <v>0</v>
      </c>
      <c r="K36" s="91"/>
      <c r="L36" s="103">
        <f t="shared" si="16"/>
        <v>0</v>
      </c>
      <c r="N36" s="405"/>
    </row>
    <row r="37" spans="2:14" s="76" customFormat="1" ht="12.7">
      <c r="B37" s="94"/>
      <c r="C37" s="134" t="e">
        <f>G37/SqFt</f>
        <v>#DIV/0!</v>
      </c>
      <c r="D37" s="95" t="s">
        <v>72</v>
      </c>
      <c r="E37" s="135"/>
      <c r="F37" s="98" t="s">
        <v>203</v>
      </c>
      <c r="G37" s="109">
        <f>G16+G24+SUM(G27:G36)</f>
        <v>0</v>
      </c>
      <c r="H37" s="109" t="e">
        <f>G37/Units</f>
        <v>#DIV/0!</v>
      </c>
      <c r="J37" s="110">
        <f>SUM(J10:J36)</f>
        <v>0</v>
      </c>
      <c r="L37" s="110">
        <f>SUM(L10:L36)</f>
        <v>0</v>
      </c>
    </row>
    <row r="38" spans="2:14" s="76" customFormat="1" ht="12.7">
      <c r="B38" s="80"/>
      <c r="C38" s="95"/>
      <c r="D38" s="96"/>
      <c r="E38" s="97"/>
      <c r="F38" s="98"/>
      <c r="G38" s="97"/>
      <c r="H38" s="97"/>
      <c r="J38" s="110"/>
      <c r="L38" s="110"/>
    </row>
    <row r="39" spans="2:14" s="76" customFormat="1" ht="12.7">
      <c r="B39" s="86" t="s">
        <v>205</v>
      </c>
      <c r="C39" s="87"/>
      <c r="D39" s="87"/>
      <c r="E39" s="88"/>
      <c r="F39" s="89"/>
      <c r="G39" s="136" t="s">
        <v>41</v>
      </c>
      <c r="H39" s="137" t="s">
        <v>32</v>
      </c>
      <c r="I39" s="91"/>
      <c r="J39" s="138" t="s">
        <v>162</v>
      </c>
      <c r="K39" s="138"/>
      <c r="L39" s="93" t="s">
        <v>320</v>
      </c>
    </row>
    <row r="40" spans="2:14" s="76" customFormat="1" ht="12.7">
      <c r="B40" s="122" t="s">
        <v>206</v>
      </c>
      <c r="C40" s="139"/>
      <c r="D40" s="140"/>
      <c r="E40" s="140"/>
      <c r="F40" s="141"/>
      <c r="G40" s="99"/>
      <c r="H40" s="100" t="e">
        <f>G40/Units</f>
        <v>#DIV/0!</v>
      </c>
      <c r="J40" s="101">
        <f>G40</f>
        <v>0</v>
      </c>
      <c r="L40" s="101">
        <f>G40</f>
        <v>0</v>
      </c>
      <c r="N40" s="405"/>
    </row>
    <row r="41" spans="2:14" s="76" customFormat="1" ht="12.7">
      <c r="B41" s="125" t="s">
        <v>207</v>
      </c>
      <c r="C41" s="142"/>
      <c r="D41" s="87"/>
      <c r="E41" s="338" t="s">
        <v>356</v>
      </c>
      <c r="F41" s="335" t="e">
        <f>(G40+G41)/F30</f>
        <v>#DIV/0!</v>
      </c>
      <c r="G41" s="102"/>
      <c r="H41" s="100" t="e">
        <f t="shared" ref="H41:H46" si="18">G41/Units</f>
        <v>#DIV/0!</v>
      </c>
      <c r="J41" s="103">
        <f t="shared" ref="J41:J46" si="19">G41</f>
        <v>0</v>
      </c>
      <c r="L41" s="103">
        <f t="shared" ref="L41:L46" si="20">G41</f>
        <v>0</v>
      </c>
      <c r="N41" s="405"/>
    </row>
    <row r="42" spans="2:14" s="76" customFormat="1" ht="12.7">
      <c r="B42" s="122" t="s">
        <v>208</v>
      </c>
      <c r="C42" s="339"/>
      <c r="D42" s="340"/>
      <c r="E42" s="340"/>
      <c r="F42" s="341"/>
      <c r="G42" s="102"/>
      <c r="H42" s="100" t="e">
        <f>G42/Units</f>
        <v>#DIV/0!</v>
      </c>
      <c r="J42" s="103">
        <f t="shared" si="19"/>
        <v>0</v>
      </c>
      <c r="L42" s="103">
        <f t="shared" si="20"/>
        <v>0</v>
      </c>
      <c r="N42" s="405"/>
    </row>
    <row r="43" spans="2:14" s="76" customFormat="1" ht="12.7">
      <c r="B43" s="122" t="s">
        <v>265</v>
      </c>
      <c r="C43" s="145"/>
      <c r="D43" s="87"/>
      <c r="E43" s="338" t="s">
        <v>358</v>
      </c>
      <c r="F43" s="146" t="e">
        <f>SUM(G40:G43)/F30</f>
        <v>#DIV/0!</v>
      </c>
      <c r="G43" s="102"/>
      <c r="H43" s="100" t="e">
        <f>G43/Units</f>
        <v>#DIV/0!</v>
      </c>
      <c r="J43" s="103">
        <f t="shared" si="19"/>
        <v>0</v>
      </c>
      <c r="L43" s="103">
        <f t="shared" si="20"/>
        <v>0</v>
      </c>
      <c r="N43" s="405"/>
    </row>
    <row r="44" spans="2:14" s="76" customFormat="1" ht="12.7">
      <c r="B44" s="122" t="s">
        <v>276</v>
      </c>
      <c r="C44" s="95"/>
      <c r="D44" s="95"/>
      <c r="E44" s="147"/>
      <c r="F44" s="132"/>
      <c r="G44" s="102"/>
      <c r="H44" s="100" t="e">
        <f>G44/Units</f>
        <v>#DIV/0!</v>
      </c>
      <c r="J44" s="103">
        <f t="shared" si="19"/>
        <v>0</v>
      </c>
      <c r="L44" s="103">
        <f t="shared" si="20"/>
        <v>0</v>
      </c>
      <c r="N44" s="405"/>
    </row>
    <row r="45" spans="2:14" s="76" customFormat="1" ht="12.7">
      <c r="B45" s="125" t="s">
        <v>266</v>
      </c>
      <c r="C45" s="95"/>
      <c r="D45" s="95"/>
      <c r="E45" s="95"/>
      <c r="F45" s="95"/>
      <c r="G45" s="102"/>
      <c r="H45" s="100" t="e">
        <f t="shared" si="18"/>
        <v>#DIV/0!</v>
      </c>
      <c r="J45" s="103">
        <f t="shared" si="19"/>
        <v>0</v>
      </c>
      <c r="L45" s="103">
        <f t="shared" si="20"/>
        <v>0</v>
      </c>
      <c r="N45" s="405"/>
    </row>
    <row r="46" spans="2:14" s="76" customFormat="1" ht="12.7">
      <c r="B46" s="125" t="s">
        <v>267</v>
      </c>
      <c r="C46" s="95"/>
      <c r="D46" s="95"/>
      <c r="E46" s="95"/>
      <c r="F46" s="95"/>
      <c r="G46" s="102"/>
      <c r="H46" s="100" t="e">
        <f t="shared" si="18"/>
        <v>#DIV/0!</v>
      </c>
      <c r="J46" s="103">
        <f t="shared" si="19"/>
        <v>0</v>
      </c>
      <c r="L46" s="103">
        <f t="shared" si="20"/>
        <v>0</v>
      </c>
      <c r="N46" s="405"/>
    </row>
    <row r="47" spans="2:14" s="76" customFormat="1" ht="12.7">
      <c r="B47" s="125" t="s">
        <v>147</v>
      </c>
      <c r="C47" s="95"/>
      <c r="D47" s="95"/>
      <c r="E47" s="95"/>
      <c r="F47" s="95"/>
      <c r="G47" s="102"/>
      <c r="H47" s="100" t="e">
        <f t="shared" ref="H47:H60" si="21">G47/Units</f>
        <v>#DIV/0!</v>
      </c>
      <c r="J47" s="103">
        <f t="shared" ref="J47:J60" si="22">G47</f>
        <v>0</v>
      </c>
      <c r="L47" s="103">
        <f t="shared" ref="L47:L60" si="23">G47</f>
        <v>0</v>
      </c>
      <c r="N47" s="405"/>
    </row>
    <row r="48" spans="2:14" s="76" customFormat="1" ht="12.7">
      <c r="B48" s="125" t="s">
        <v>273</v>
      </c>
      <c r="C48" s="130"/>
      <c r="D48" s="95"/>
      <c r="E48" s="147"/>
      <c r="F48" s="132"/>
      <c r="G48" s="102"/>
      <c r="H48" s="100" t="e">
        <f t="shared" si="21"/>
        <v>#DIV/0!</v>
      </c>
      <c r="J48" s="103">
        <f t="shared" si="22"/>
        <v>0</v>
      </c>
      <c r="L48" s="103">
        <f t="shared" si="23"/>
        <v>0</v>
      </c>
      <c r="N48" s="405"/>
    </row>
    <row r="49" spans="2:14" s="76" customFormat="1" ht="12.7">
      <c r="B49" s="125" t="s">
        <v>274</v>
      </c>
      <c r="C49" s="130"/>
      <c r="D49" s="95"/>
      <c r="E49" s="147"/>
      <c r="F49" s="132"/>
      <c r="G49" s="102"/>
      <c r="H49" s="100" t="e">
        <f t="shared" si="21"/>
        <v>#DIV/0!</v>
      </c>
      <c r="J49" s="103">
        <f t="shared" si="22"/>
        <v>0</v>
      </c>
      <c r="L49" s="103">
        <f t="shared" si="23"/>
        <v>0</v>
      </c>
      <c r="N49" s="405"/>
    </row>
    <row r="50" spans="2:14" s="76" customFormat="1" ht="12.7">
      <c r="B50" s="122" t="s">
        <v>275</v>
      </c>
      <c r="C50" s="130"/>
      <c r="D50" s="95"/>
      <c r="E50" s="147"/>
      <c r="F50" s="132"/>
      <c r="G50" s="102"/>
      <c r="H50" s="100" t="e">
        <f t="shared" si="21"/>
        <v>#DIV/0!</v>
      </c>
      <c r="J50" s="103">
        <f t="shared" si="22"/>
        <v>0</v>
      </c>
      <c r="L50" s="103">
        <f t="shared" si="23"/>
        <v>0</v>
      </c>
      <c r="N50" s="405"/>
    </row>
    <row r="51" spans="2:14" s="76" customFormat="1" ht="12.7">
      <c r="B51" s="125" t="s">
        <v>70</v>
      </c>
      <c r="C51" s="130"/>
      <c r="D51" s="95"/>
      <c r="E51" s="147"/>
      <c r="F51" s="132"/>
      <c r="G51" s="102"/>
      <c r="H51" s="100" t="e">
        <f t="shared" si="21"/>
        <v>#DIV/0!</v>
      </c>
      <c r="J51" s="103">
        <f t="shared" si="22"/>
        <v>0</v>
      </c>
      <c r="L51" s="103">
        <f t="shared" si="23"/>
        <v>0</v>
      </c>
      <c r="N51" s="405"/>
    </row>
    <row r="52" spans="2:14" s="76" customFormat="1" ht="12.7">
      <c r="B52" s="125" t="s">
        <v>268</v>
      </c>
      <c r="C52" s="130"/>
      <c r="D52" s="95"/>
      <c r="E52" s="147"/>
      <c r="F52" s="132"/>
      <c r="G52" s="102"/>
      <c r="H52" s="100" t="e">
        <f t="shared" si="21"/>
        <v>#DIV/0!</v>
      </c>
      <c r="J52" s="103">
        <f t="shared" si="22"/>
        <v>0</v>
      </c>
      <c r="L52" s="103">
        <f t="shared" si="23"/>
        <v>0</v>
      </c>
      <c r="N52" s="405"/>
    </row>
    <row r="53" spans="2:14" s="76" customFormat="1" ht="12.7">
      <c r="B53" s="125" t="s">
        <v>271</v>
      </c>
      <c r="C53" s="130"/>
      <c r="D53" s="95"/>
      <c r="E53" s="147"/>
      <c r="F53" s="132"/>
      <c r="G53" s="102"/>
      <c r="H53" s="100" t="e">
        <f t="shared" si="21"/>
        <v>#DIV/0!</v>
      </c>
      <c r="J53" s="103">
        <f t="shared" si="22"/>
        <v>0</v>
      </c>
      <c r="L53" s="103">
        <f t="shared" si="23"/>
        <v>0</v>
      </c>
      <c r="N53" s="405"/>
    </row>
    <row r="54" spans="2:14" s="76" customFormat="1" ht="12.7">
      <c r="B54" s="125" t="s">
        <v>209</v>
      </c>
      <c r="C54" s="130"/>
      <c r="D54" s="95"/>
      <c r="E54" s="147"/>
      <c r="F54" s="132"/>
      <c r="G54" s="102"/>
      <c r="H54" s="100" t="e">
        <f t="shared" si="21"/>
        <v>#DIV/0!</v>
      </c>
      <c r="J54" s="103">
        <f t="shared" si="22"/>
        <v>0</v>
      </c>
      <c r="L54" s="103">
        <f t="shared" si="23"/>
        <v>0</v>
      </c>
      <c r="N54" s="405"/>
    </row>
    <row r="55" spans="2:14" s="76" customFormat="1" ht="12.7">
      <c r="B55" s="125" t="s">
        <v>272</v>
      </c>
      <c r="C55" s="130"/>
      <c r="D55" s="95"/>
      <c r="E55" s="147"/>
      <c r="F55" s="132"/>
      <c r="G55" s="102"/>
      <c r="H55" s="100" t="e">
        <f t="shared" si="21"/>
        <v>#DIV/0!</v>
      </c>
      <c r="J55" s="103">
        <f t="shared" si="22"/>
        <v>0</v>
      </c>
      <c r="L55" s="103">
        <f t="shared" si="23"/>
        <v>0</v>
      </c>
      <c r="N55" s="405"/>
    </row>
    <row r="56" spans="2:14" s="76" customFormat="1" ht="12.7">
      <c r="B56" s="125" t="s">
        <v>210</v>
      </c>
      <c r="C56" s="130"/>
      <c r="D56" s="95"/>
      <c r="E56" s="147"/>
      <c r="F56" s="132"/>
      <c r="G56" s="102"/>
      <c r="H56" s="100" t="e">
        <f t="shared" si="21"/>
        <v>#DIV/0!</v>
      </c>
      <c r="J56" s="103">
        <f t="shared" si="22"/>
        <v>0</v>
      </c>
      <c r="L56" s="103">
        <f t="shared" si="23"/>
        <v>0</v>
      </c>
      <c r="N56" s="405"/>
    </row>
    <row r="57" spans="2:14" s="76" customFormat="1" ht="12.7">
      <c r="B57" s="125" t="s">
        <v>143</v>
      </c>
      <c r="C57" s="130"/>
      <c r="D57" s="95"/>
      <c r="E57" s="147"/>
      <c r="F57" s="132"/>
      <c r="G57" s="102"/>
      <c r="H57" s="100" t="e">
        <f t="shared" ref="H57" si="24">G57/Units</f>
        <v>#DIV/0!</v>
      </c>
      <c r="J57" s="103">
        <f t="shared" ref="J57" si="25">G57</f>
        <v>0</v>
      </c>
      <c r="L57" s="133"/>
      <c r="N57" s="405"/>
    </row>
    <row r="58" spans="2:14" s="76" customFormat="1" ht="12.7">
      <c r="B58" s="530" t="s">
        <v>138</v>
      </c>
      <c r="C58" s="530"/>
      <c r="D58" s="95"/>
      <c r="E58" s="147"/>
      <c r="F58" s="132"/>
      <c r="G58" s="102"/>
      <c r="H58" s="100" t="e">
        <f t="shared" si="21"/>
        <v>#DIV/0!</v>
      </c>
      <c r="J58" s="103">
        <f t="shared" si="22"/>
        <v>0</v>
      </c>
      <c r="L58" s="103">
        <f t="shared" si="23"/>
        <v>0</v>
      </c>
      <c r="N58" s="405"/>
    </row>
    <row r="59" spans="2:14" s="76" customFormat="1" ht="12.7">
      <c r="B59" s="530" t="s">
        <v>138</v>
      </c>
      <c r="C59" s="530"/>
      <c r="D59" s="95"/>
      <c r="E59" s="147"/>
      <c r="F59" s="132"/>
      <c r="G59" s="102"/>
      <c r="H59" s="100" t="e">
        <f t="shared" si="21"/>
        <v>#DIV/0!</v>
      </c>
      <c r="J59" s="103">
        <f t="shared" si="22"/>
        <v>0</v>
      </c>
      <c r="L59" s="103">
        <f t="shared" si="23"/>
        <v>0</v>
      </c>
      <c r="N59" s="405"/>
    </row>
    <row r="60" spans="2:14" s="76" customFormat="1" ht="12.7">
      <c r="B60" s="529" t="s">
        <v>138</v>
      </c>
      <c r="C60" s="529"/>
      <c r="D60" s="87"/>
      <c r="E60" s="106"/>
      <c r="F60" s="148"/>
      <c r="G60" s="102"/>
      <c r="H60" s="100" t="e">
        <f t="shared" si="21"/>
        <v>#DIV/0!</v>
      </c>
      <c r="I60" s="91"/>
      <c r="J60" s="103">
        <f t="shared" si="22"/>
        <v>0</v>
      </c>
      <c r="K60" s="91"/>
      <c r="L60" s="103">
        <f t="shared" si="23"/>
        <v>0</v>
      </c>
      <c r="N60" s="405"/>
    </row>
    <row r="61" spans="2:14" s="154" customFormat="1" ht="12.7">
      <c r="B61" s="149"/>
      <c r="C61" s="150"/>
      <c r="D61" s="151"/>
      <c r="E61" s="152"/>
      <c r="F61" s="153" t="s">
        <v>211</v>
      </c>
      <c r="G61" s="109">
        <f>SUM(G40:G60)</f>
        <v>0</v>
      </c>
      <c r="H61" s="109" t="e">
        <f>G61/Units</f>
        <v>#DIV/0!</v>
      </c>
      <c r="J61" s="155">
        <f>SUM(J40:J60)</f>
        <v>0</v>
      </c>
      <c r="L61" s="155">
        <f>SUM(L40:L60)</f>
        <v>0</v>
      </c>
    </row>
    <row r="62" spans="2:14" s="154" customFormat="1" ht="12.7">
      <c r="B62" s="149"/>
      <c r="C62" s="150"/>
      <c r="D62" s="151"/>
      <c r="E62" s="152"/>
      <c r="F62" s="153"/>
      <c r="G62" s="156"/>
      <c r="H62" s="157"/>
      <c r="J62" s="155"/>
      <c r="L62" s="155"/>
    </row>
    <row r="63" spans="2:14" s="76" customFormat="1" ht="12.7">
      <c r="B63" s="86" t="s">
        <v>212</v>
      </c>
      <c r="C63" s="87"/>
      <c r="D63" s="87"/>
      <c r="E63" s="88"/>
      <c r="F63" s="89"/>
      <c r="G63" s="136" t="s">
        <v>41</v>
      </c>
      <c r="H63" s="137" t="s">
        <v>32</v>
      </c>
      <c r="I63" s="91"/>
      <c r="J63" s="138"/>
      <c r="K63" s="138"/>
      <c r="L63" s="138"/>
    </row>
    <row r="64" spans="2:14" s="154" customFormat="1" ht="12.7">
      <c r="B64" s="158" t="s">
        <v>221</v>
      </c>
      <c r="C64" s="150"/>
      <c r="D64" s="151"/>
      <c r="E64" s="152"/>
      <c r="F64" s="153"/>
      <c r="G64" s="156"/>
      <c r="H64" s="157"/>
      <c r="J64" s="155"/>
      <c r="L64" s="155"/>
    </row>
    <row r="65" spans="2:14" s="154" customFormat="1" ht="12.7">
      <c r="B65" s="149" t="s">
        <v>213</v>
      </c>
      <c r="C65" s="159"/>
      <c r="D65" s="151"/>
      <c r="E65" s="75" t="s">
        <v>373</v>
      </c>
      <c r="F65" s="342">
        <f>'7)Const Cash Flow'!AN10</f>
        <v>0</v>
      </c>
      <c r="G65" s="160"/>
      <c r="H65" s="100" t="e">
        <f t="shared" ref="H65:H73" si="26">G65/Units</f>
        <v>#DIV/0!</v>
      </c>
      <c r="I65" s="76"/>
      <c r="J65" s="103">
        <v>490588</v>
      </c>
      <c r="K65" s="76"/>
      <c r="L65" s="103">
        <f t="shared" ref="L65:L73" si="27">G65</f>
        <v>0</v>
      </c>
      <c r="N65" s="405" t="s">
        <v>371</v>
      </c>
    </row>
    <row r="66" spans="2:14" s="154" customFormat="1" ht="12.7">
      <c r="B66" s="149" t="s">
        <v>214</v>
      </c>
      <c r="C66" s="150"/>
      <c r="D66" s="151"/>
      <c r="E66" s="152"/>
      <c r="F66" s="153"/>
      <c r="G66" s="102"/>
      <c r="H66" s="100" t="e">
        <f t="shared" si="26"/>
        <v>#DIV/0!</v>
      </c>
      <c r="I66" s="76"/>
      <c r="J66" s="103">
        <f t="shared" ref="J66:J73" si="28">G66</f>
        <v>0</v>
      </c>
      <c r="K66" s="76"/>
      <c r="L66" s="103">
        <f t="shared" si="27"/>
        <v>0</v>
      </c>
      <c r="N66" s="405"/>
    </row>
    <row r="67" spans="2:14" s="154" customFormat="1" ht="12.7">
      <c r="B67" s="149" t="s">
        <v>269</v>
      </c>
      <c r="C67" s="150"/>
      <c r="D67" s="151"/>
      <c r="E67" s="152"/>
      <c r="F67" s="153"/>
      <c r="G67" s="102"/>
      <c r="H67" s="100" t="e">
        <f t="shared" si="26"/>
        <v>#DIV/0!</v>
      </c>
      <c r="I67" s="76"/>
      <c r="J67" s="103">
        <f t="shared" si="28"/>
        <v>0</v>
      </c>
      <c r="K67" s="76"/>
      <c r="L67" s="103">
        <f t="shared" si="27"/>
        <v>0</v>
      </c>
      <c r="N67" s="405"/>
    </row>
    <row r="68" spans="2:14" s="154" customFormat="1" ht="12.7">
      <c r="B68" s="149" t="s">
        <v>270</v>
      </c>
      <c r="C68" s="150"/>
      <c r="D68" s="151"/>
      <c r="E68" s="152"/>
      <c r="F68" s="153"/>
      <c r="G68" s="102"/>
      <c r="H68" s="100" t="e">
        <f t="shared" si="26"/>
        <v>#DIV/0!</v>
      </c>
      <c r="I68" s="76"/>
      <c r="J68" s="103">
        <f>G68</f>
        <v>0</v>
      </c>
      <c r="K68" s="76"/>
      <c r="L68" s="103">
        <f t="shared" si="27"/>
        <v>0</v>
      </c>
      <c r="N68" s="405"/>
    </row>
    <row r="69" spans="2:14" s="154" customFormat="1" ht="12.7">
      <c r="B69" s="149" t="s">
        <v>217</v>
      </c>
      <c r="C69" s="150"/>
      <c r="D69" s="151"/>
      <c r="E69" s="152"/>
      <c r="F69" s="153"/>
      <c r="G69" s="102"/>
      <c r="H69" s="100" t="e">
        <f t="shared" si="26"/>
        <v>#DIV/0!</v>
      </c>
      <c r="I69" s="76"/>
      <c r="J69" s="103">
        <f t="shared" si="28"/>
        <v>0</v>
      </c>
      <c r="K69" s="76"/>
      <c r="L69" s="103">
        <f t="shared" si="27"/>
        <v>0</v>
      </c>
      <c r="N69" s="405"/>
    </row>
    <row r="70" spans="2:14" s="154" customFormat="1" ht="12.7">
      <c r="B70" s="149" t="s">
        <v>218</v>
      </c>
      <c r="C70" s="150"/>
      <c r="D70" s="151"/>
      <c r="E70" s="152"/>
      <c r="F70" s="153"/>
      <c r="G70" s="102"/>
      <c r="H70" s="100" t="e">
        <f t="shared" si="26"/>
        <v>#DIV/0!</v>
      </c>
      <c r="I70" s="76"/>
      <c r="J70" s="103">
        <f t="shared" si="28"/>
        <v>0</v>
      </c>
      <c r="K70" s="76"/>
      <c r="L70" s="103">
        <f t="shared" si="27"/>
        <v>0</v>
      </c>
      <c r="N70" s="405"/>
    </row>
    <row r="71" spans="2:14" s="154" customFormat="1" ht="12.7">
      <c r="B71" s="149" t="s">
        <v>219</v>
      </c>
      <c r="C71" s="150"/>
      <c r="D71" s="151"/>
      <c r="E71" s="152"/>
      <c r="F71" s="153"/>
      <c r="G71" s="102"/>
      <c r="H71" s="100" t="e">
        <f t="shared" si="26"/>
        <v>#DIV/0!</v>
      </c>
      <c r="I71" s="76"/>
      <c r="J71" s="103">
        <f t="shared" si="28"/>
        <v>0</v>
      </c>
      <c r="K71" s="76"/>
      <c r="L71" s="103">
        <f t="shared" si="27"/>
        <v>0</v>
      </c>
      <c r="N71" s="405"/>
    </row>
    <row r="72" spans="2:14" s="154" customFormat="1" ht="12.7">
      <c r="B72" s="530" t="s">
        <v>138</v>
      </c>
      <c r="C72" s="530"/>
      <c r="D72" s="151"/>
      <c r="E72" s="152"/>
      <c r="F72" s="153"/>
      <c r="G72" s="102"/>
      <c r="H72" s="100" t="e">
        <f t="shared" si="26"/>
        <v>#DIV/0!</v>
      </c>
      <c r="I72" s="76"/>
      <c r="J72" s="103">
        <f t="shared" si="28"/>
        <v>0</v>
      </c>
      <c r="K72" s="76"/>
      <c r="L72" s="103">
        <f t="shared" si="27"/>
        <v>0</v>
      </c>
      <c r="N72" s="405"/>
    </row>
    <row r="73" spans="2:14" s="154" customFormat="1" ht="12.7">
      <c r="B73" s="530" t="s">
        <v>138</v>
      </c>
      <c r="C73" s="530"/>
      <c r="D73" s="151"/>
      <c r="E73" s="152"/>
      <c r="F73" s="153"/>
      <c r="G73" s="102"/>
      <c r="H73" s="100" t="e">
        <f t="shared" si="26"/>
        <v>#DIV/0!</v>
      </c>
      <c r="I73" s="76"/>
      <c r="J73" s="103">
        <f t="shared" si="28"/>
        <v>0</v>
      </c>
      <c r="K73" s="76"/>
      <c r="L73" s="103">
        <f t="shared" si="27"/>
        <v>0</v>
      </c>
      <c r="N73" s="405"/>
    </row>
    <row r="74" spans="2:14" s="154" customFormat="1" ht="12.7">
      <c r="B74" s="149"/>
      <c r="C74" s="150"/>
      <c r="D74" s="151"/>
      <c r="E74" s="152"/>
      <c r="F74" s="153"/>
      <c r="G74" s="156"/>
      <c r="H74" s="157"/>
      <c r="J74" s="155"/>
      <c r="L74" s="155"/>
    </row>
    <row r="75" spans="2:14" s="154" customFormat="1" ht="12.7">
      <c r="B75" s="158" t="s">
        <v>220</v>
      </c>
      <c r="C75" s="150"/>
      <c r="D75" s="151"/>
      <c r="E75" s="152"/>
      <c r="F75" s="153"/>
      <c r="G75" s="156"/>
      <c r="H75" s="157"/>
      <c r="J75" s="155"/>
      <c r="L75" s="155"/>
    </row>
    <row r="76" spans="2:14" s="154" customFormat="1" ht="12.7">
      <c r="B76" s="149" t="s">
        <v>214</v>
      </c>
      <c r="C76" s="150"/>
      <c r="D76" s="151"/>
      <c r="E76" s="152"/>
      <c r="F76" s="161"/>
      <c r="G76" s="102"/>
      <c r="H76" s="100" t="e">
        <f t="shared" ref="H76:H85" si="29">G76/Units</f>
        <v>#DIV/0!</v>
      </c>
      <c r="I76" s="76"/>
      <c r="J76" s="121"/>
      <c r="K76" s="76"/>
      <c r="L76" s="103">
        <f t="shared" ref="L76:L85" si="30">G76</f>
        <v>0</v>
      </c>
      <c r="N76" s="405"/>
    </row>
    <row r="77" spans="2:14" s="154" customFormat="1" ht="12.7">
      <c r="B77" s="149" t="s">
        <v>215</v>
      </c>
      <c r="C77" s="150"/>
      <c r="D77" s="151"/>
      <c r="E77" s="152"/>
      <c r="F77" s="161"/>
      <c r="G77" s="102"/>
      <c r="H77" s="100" t="e">
        <f t="shared" si="29"/>
        <v>#DIV/0!</v>
      </c>
      <c r="I77" s="76"/>
      <c r="J77" s="121"/>
      <c r="K77" s="76"/>
      <c r="L77" s="103">
        <f t="shared" si="30"/>
        <v>0</v>
      </c>
      <c r="N77" s="405"/>
    </row>
    <row r="78" spans="2:14" s="154" customFormat="1" ht="12.7">
      <c r="B78" s="149" t="s">
        <v>319</v>
      </c>
      <c r="C78" s="150"/>
      <c r="D78" s="151"/>
      <c r="E78" s="152"/>
      <c r="F78" s="153"/>
      <c r="G78" s="102"/>
      <c r="H78" s="100" t="e">
        <f t="shared" si="29"/>
        <v>#DIV/0!</v>
      </c>
      <c r="I78" s="76"/>
      <c r="J78" s="121"/>
      <c r="K78" s="76"/>
      <c r="L78" s="103">
        <f t="shared" si="30"/>
        <v>0</v>
      </c>
      <c r="N78" s="405"/>
    </row>
    <row r="79" spans="2:14" s="154" customFormat="1" ht="12.7">
      <c r="B79" s="149" t="s">
        <v>222</v>
      </c>
      <c r="C79" s="150"/>
      <c r="D79" s="151"/>
      <c r="E79" s="152"/>
      <c r="F79" s="153"/>
      <c r="G79" s="102"/>
      <c r="H79" s="100" t="e">
        <f t="shared" si="29"/>
        <v>#DIV/0!</v>
      </c>
      <c r="I79" s="76"/>
      <c r="J79" s="121"/>
      <c r="K79" s="76"/>
      <c r="L79" s="103">
        <f t="shared" si="30"/>
        <v>0</v>
      </c>
      <c r="N79" s="405"/>
    </row>
    <row r="80" spans="2:14" s="154" customFormat="1" ht="12.7">
      <c r="B80" s="149" t="s">
        <v>223</v>
      </c>
      <c r="C80" s="150"/>
      <c r="D80" s="151"/>
      <c r="E80" s="152"/>
      <c r="F80" s="153"/>
      <c r="G80" s="102"/>
      <c r="H80" s="100" t="e">
        <f t="shared" si="29"/>
        <v>#DIV/0!</v>
      </c>
      <c r="I80" s="76"/>
      <c r="J80" s="121"/>
      <c r="K80" s="76"/>
      <c r="L80" s="103">
        <f t="shared" si="30"/>
        <v>0</v>
      </c>
      <c r="N80" s="405"/>
    </row>
    <row r="81" spans="2:14" s="154" customFormat="1" ht="12.7">
      <c r="B81" s="149" t="s">
        <v>224</v>
      </c>
      <c r="C81" s="150"/>
      <c r="D81" s="151"/>
      <c r="E81" s="152"/>
      <c r="F81" s="153"/>
      <c r="G81" s="102"/>
      <c r="H81" s="100" t="e">
        <f t="shared" si="29"/>
        <v>#DIV/0!</v>
      </c>
      <c r="I81" s="76"/>
      <c r="J81" s="121"/>
      <c r="K81" s="76"/>
      <c r="L81" s="103">
        <f t="shared" si="30"/>
        <v>0</v>
      </c>
      <c r="N81" s="405"/>
    </row>
    <row r="82" spans="2:14" s="154" customFormat="1" ht="12.7">
      <c r="B82" s="149" t="s">
        <v>225</v>
      </c>
      <c r="C82" s="150"/>
      <c r="D82" s="151"/>
      <c r="E82" s="152"/>
      <c r="F82" s="153"/>
      <c r="G82" s="102"/>
      <c r="H82" s="100" t="e">
        <f t="shared" si="29"/>
        <v>#DIV/0!</v>
      </c>
      <c r="I82" s="76"/>
      <c r="J82" s="121"/>
      <c r="K82" s="76"/>
      <c r="L82" s="103">
        <f t="shared" si="30"/>
        <v>0</v>
      </c>
      <c r="N82" s="405"/>
    </row>
    <row r="83" spans="2:14" s="154" customFormat="1" ht="12.7">
      <c r="B83" s="149" t="s">
        <v>226</v>
      </c>
      <c r="C83" s="150"/>
      <c r="D83" s="151"/>
      <c r="E83" s="152"/>
      <c r="F83" s="153"/>
      <c r="G83" s="102"/>
      <c r="H83" s="100" t="e">
        <f t="shared" si="29"/>
        <v>#DIV/0!</v>
      </c>
      <c r="I83" s="76"/>
      <c r="J83" s="121"/>
      <c r="K83" s="76"/>
      <c r="L83" s="103">
        <f t="shared" si="30"/>
        <v>0</v>
      </c>
      <c r="N83" s="405"/>
    </row>
    <row r="84" spans="2:14" s="154" customFormat="1" ht="12.7">
      <c r="B84" s="530" t="s">
        <v>138</v>
      </c>
      <c r="C84" s="530"/>
      <c r="D84" s="151"/>
      <c r="E84" s="152"/>
      <c r="F84" s="153"/>
      <c r="G84" s="102"/>
      <c r="H84" s="100" t="e">
        <f t="shared" si="29"/>
        <v>#DIV/0!</v>
      </c>
      <c r="I84" s="76"/>
      <c r="J84" s="121"/>
      <c r="K84" s="76"/>
      <c r="L84" s="103">
        <f t="shared" si="30"/>
        <v>0</v>
      </c>
      <c r="N84" s="405"/>
    </row>
    <row r="85" spans="2:14" s="154" customFormat="1" ht="12.7">
      <c r="B85" s="530" t="s">
        <v>138</v>
      </c>
      <c r="C85" s="530"/>
      <c r="D85" s="151"/>
      <c r="E85" s="152"/>
      <c r="F85" s="153"/>
      <c r="G85" s="102"/>
      <c r="H85" s="100" t="e">
        <f t="shared" si="29"/>
        <v>#DIV/0!</v>
      </c>
      <c r="I85" s="76"/>
      <c r="J85" s="121"/>
      <c r="K85" s="76"/>
      <c r="L85" s="103">
        <f t="shared" si="30"/>
        <v>0</v>
      </c>
      <c r="N85" s="405"/>
    </row>
    <row r="86" spans="2:14" s="154" customFormat="1" ht="12.7">
      <c r="B86" s="149"/>
      <c r="C86" s="150"/>
      <c r="D86" s="151"/>
      <c r="E86" s="152"/>
      <c r="F86" s="153"/>
      <c r="G86" s="156"/>
      <c r="H86" s="157"/>
      <c r="J86" s="155"/>
      <c r="L86" s="155"/>
    </row>
    <row r="87" spans="2:14" s="154" customFormat="1" ht="12.7">
      <c r="B87" s="158" t="s">
        <v>227</v>
      </c>
      <c r="C87" s="150"/>
      <c r="D87" s="151"/>
      <c r="E87" s="152"/>
      <c r="F87" s="153"/>
      <c r="G87" s="156"/>
      <c r="H87" s="157"/>
      <c r="J87" s="155"/>
      <c r="L87" s="155"/>
    </row>
    <row r="88" spans="2:14" s="154" customFormat="1" ht="12.7">
      <c r="B88" s="149" t="s">
        <v>213</v>
      </c>
      <c r="C88" s="150"/>
      <c r="D88" s="151"/>
      <c r="E88" s="152"/>
      <c r="F88" s="153"/>
      <c r="G88" s="102"/>
      <c r="H88" s="100" t="e">
        <f t="shared" ref="H88:H93" si="31">G88/Units</f>
        <v>#DIV/0!</v>
      </c>
      <c r="I88" s="76"/>
      <c r="J88" s="103">
        <f t="shared" ref="J88:J93" si="32">G88</f>
        <v>0</v>
      </c>
      <c r="K88" s="76"/>
      <c r="L88" s="103">
        <f t="shared" ref="L88:L93" si="33">G88</f>
        <v>0</v>
      </c>
      <c r="N88" s="405"/>
    </row>
    <row r="89" spans="2:14" s="154" customFormat="1" ht="12.7">
      <c r="B89" s="149" t="s">
        <v>214</v>
      </c>
      <c r="C89" s="150"/>
      <c r="D89" s="151"/>
      <c r="E89" s="152"/>
      <c r="F89" s="153"/>
      <c r="G89" s="102"/>
      <c r="H89" s="100" t="e">
        <f t="shared" si="31"/>
        <v>#DIV/0!</v>
      </c>
      <c r="I89" s="76"/>
      <c r="J89" s="103">
        <f t="shared" si="32"/>
        <v>0</v>
      </c>
      <c r="K89" s="76"/>
      <c r="L89" s="103">
        <f t="shared" si="33"/>
        <v>0</v>
      </c>
      <c r="N89" s="405"/>
    </row>
    <row r="90" spans="2:14" s="154" customFormat="1" ht="12.7">
      <c r="B90" s="149" t="s">
        <v>215</v>
      </c>
      <c r="C90" s="150"/>
      <c r="D90" s="151"/>
      <c r="E90" s="152"/>
      <c r="F90" s="153"/>
      <c r="G90" s="102"/>
      <c r="H90" s="100" t="e">
        <f t="shared" si="31"/>
        <v>#DIV/0!</v>
      </c>
      <c r="I90" s="76"/>
      <c r="J90" s="103">
        <f t="shared" si="32"/>
        <v>0</v>
      </c>
      <c r="K90" s="76"/>
      <c r="L90" s="103">
        <f t="shared" si="33"/>
        <v>0</v>
      </c>
      <c r="N90" s="405"/>
    </row>
    <row r="91" spans="2:14" s="154" customFormat="1" ht="12.7">
      <c r="B91" s="149" t="s">
        <v>216</v>
      </c>
      <c r="C91" s="150"/>
      <c r="D91" s="151"/>
      <c r="E91" s="152"/>
      <c r="F91" s="153"/>
      <c r="G91" s="102"/>
      <c r="H91" s="100" t="e">
        <f t="shared" si="31"/>
        <v>#DIV/0!</v>
      </c>
      <c r="I91" s="76"/>
      <c r="J91" s="103">
        <f t="shared" si="32"/>
        <v>0</v>
      </c>
      <c r="K91" s="76"/>
      <c r="L91" s="103">
        <f t="shared" si="33"/>
        <v>0</v>
      </c>
      <c r="N91" s="405"/>
    </row>
    <row r="92" spans="2:14" s="154" customFormat="1" ht="12.7">
      <c r="B92" s="530" t="s">
        <v>138</v>
      </c>
      <c r="C92" s="530"/>
      <c r="D92" s="151"/>
      <c r="E92" s="152"/>
      <c r="F92" s="153"/>
      <c r="G92" s="102"/>
      <c r="H92" s="100" t="e">
        <f t="shared" si="31"/>
        <v>#DIV/0!</v>
      </c>
      <c r="I92" s="76"/>
      <c r="J92" s="103">
        <f t="shared" si="32"/>
        <v>0</v>
      </c>
      <c r="K92" s="76"/>
      <c r="L92" s="103">
        <f t="shared" si="33"/>
        <v>0</v>
      </c>
      <c r="N92" s="405"/>
    </row>
    <row r="93" spans="2:14" s="154" customFormat="1" ht="12.7">
      <c r="B93" s="530" t="s">
        <v>138</v>
      </c>
      <c r="C93" s="530"/>
      <c r="D93" s="151"/>
      <c r="E93" s="152"/>
      <c r="F93" s="153"/>
      <c r="G93" s="102"/>
      <c r="H93" s="100" t="e">
        <f t="shared" si="31"/>
        <v>#DIV/0!</v>
      </c>
      <c r="I93" s="76"/>
      <c r="J93" s="103">
        <f t="shared" si="32"/>
        <v>0</v>
      </c>
      <c r="K93" s="76"/>
      <c r="L93" s="103">
        <f t="shared" si="33"/>
        <v>0</v>
      </c>
      <c r="N93" s="405"/>
    </row>
    <row r="94" spans="2:14" s="154" customFormat="1" ht="12.7">
      <c r="B94" s="149"/>
      <c r="C94" s="150"/>
      <c r="D94" s="151"/>
      <c r="E94" s="152"/>
      <c r="F94" s="153"/>
      <c r="G94" s="156"/>
      <c r="H94" s="157"/>
      <c r="J94" s="155"/>
      <c r="L94" s="155"/>
    </row>
    <row r="95" spans="2:14" s="154" customFormat="1" ht="12.7">
      <c r="B95" s="158" t="s">
        <v>228</v>
      </c>
      <c r="C95" s="150"/>
      <c r="D95" s="151"/>
      <c r="E95" s="152"/>
      <c r="F95" s="153"/>
      <c r="G95" s="156"/>
      <c r="H95" s="157"/>
      <c r="J95" s="155"/>
      <c r="L95" s="155"/>
    </row>
    <row r="96" spans="2:14" s="154" customFormat="1" ht="12.7">
      <c r="B96" s="149" t="s">
        <v>310</v>
      </c>
      <c r="C96" s="150"/>
      <c r="D96" s="151"/>
      <c r="E96" s="152"/>
      <c r="F96" s="153"/>
      <c r="G96" s="102"/>
      <c r="H96" s="100" t="e">
        <f t="shared" ref="H96:H106" si="34">G96/Units</f>
        <v>#DIV/0!</v>
      </c>
      <c r="I96" s="76"/>
      <c r="J96" s="133"/>
      <c r="K96" s="76"/>
      <c r="L96" s="103">
        <f t="shared" ref="L96:L106" si="35">G96</f>
        <v>0</v>
      </c>
      <c r="N96" s="405"/>
    </row>
    <row r="97" spans="2:14" s="154" customFormat="1" ht="12.7">
      <c r="B97" s="149" t="s">
        <v>311</v>
      </c>
      <c r="C97" s="150"/>
      <c r="D97" s="151"/>
      <c r="E97" s="152"/>
      <c r="F97" s="153"/>
      <c r="G97" s="102"/>
      <c r="H97" s="100" t="e">
        <f t="shared" si="34"/>
        <v>#DIV/0!</v>
      </c>
      <c r="I97" s="76"/>
      <c r="J97" s="133"/>
      <c r="K97" s="76"/>
      <c r="L97" s="103">
        <f t="shared" si="35"/>
        <v>0</v>
      </c>
      <c r="N97" s="405"/>
    </row>
    <row r="98" spans="2:14" s="154" customFormat="1" ht="12.7">
      <c r="B98" s="149" t="s">
        <v>312</v>
      </c>
      <c r="C98" s="150"/>
      <c r="D98" s="151"/>
      <c r="E98" s="152"/>
      <c r="F98" s="153"/>
      <c r="G98" s="102"/>
      <c r="H98" s="100" t="e">
        <f t="shared" si="34"/>
        <v>#DIV/0!</v>
      </c>
      <c r="I98" s="76"/>
      <c r="J98" s="133"/>
      <c r="K98" s="76"/>
      <c r="L98" s="103">
        <f t="shared" si="35"/>
        <v>0</v>
      </c>
      <c r="N98" s="405"/>
    </row>
    <row r="99" spans="2:14" s="154" customFormat="1" ht="12.7">
      <c r="B99" s="149" t="s">
        <v>229</v>
      </c>
      <c r="C99" s="150"/>
      <c r="D99" s="151"/>
      <c r="E99" s="152"/>
      <c r="F99" s="153"/>
      <c r="G99" s="102"/>
      <c r="H99" s="100" t="e">
        <f t="shared" si="34"/>
        <v>#DIV/0!</v>
      </c>
      <c r="I99" s="76"/>
      <c r="J99" s="103">
        <f t="shared" ref="J99:J106" si="36">G99</f>
        <v>0</v>
      </c>
      <c r="K99" s="76"/>
      <c r="L99" s="103">
        <f t="shared" si="35"/>
        <v>0</v>
      </c>
      <c r="N99" s="405"/>
    </row>
    <row r="100" spans="2:14" s="154" customFormat="1" ht="12.7">
      <c r="B100" s="149" t="s">
        <v>225</v>
      </c>
      <c r="C100" s="150"/>
      <c r="D100" s="151"/>
      <c r="E100" s="152"/>
      <c r="F100" s="153"/>
      <c r="G100" s="102"/>
      <c r="H100" s="100" t="e">
        <f t="shared" si="34"/>
        <v>#DIV/0!</v>
      </c>
      <c r="I100" s="76"/>
      <c r="J100" s="103">
        <f t="shared" si="36"/>
        <v>0</v>
      </c>
      <c r="K100" s="76"/>
      <c r="L100" s="103">
        <f t="shared" si="35"/>
        <v>0</v>
      </c>
      <c r="N100" s="405"/>
    </row>
    <row r="101" spans="2:14" s="154" customFormat="1" ht="12.7">
      <c r="B101" s="149" t="s">
        <v>313</v>
      </c>
      <c r="C101" s="150"/>
      <c r="D101" s="151"/>
      <c r="E101" s="152"/>
      <c r="F101" s="153"/>
      <c r="G101" s="102"/>
      <c r="H101" s="100" t="e">
        <f t="shared" si="34"/>
        <v>#DIV/0!</v>
      </c>
      <c r="I101" s="76"/>
      <c r="J101" s="103">
        <f t="shared" si="36"/>
        <v>0</v>
      </c>
      <c r="K101" s="76"/>
      <c r="L101" s="103">
        <f t="shared" si="35"/>
        <v>0</v>
      </c>
      <c r="N101" s="405"/>
    </row>
    <row r="102" spans="2:14" s="154" customFormat="1" ht="12.7">
      <c r="B102" s="149" t="s">
        <v>314</v>
      </c>
      <c r="C102" s="150"/>
      <c r="D102" s="151"/>
      <c r="E102" s="152"/>
      <c r="F102" s="153"/>
      <c r="G102" s="102"/>
      <c r="H102" s="100" t="e">
        <f t="shared" si="34"/>
        <v>#DIV/0!</v>
      </c>
      <c r="I102" s="76"/>
      <c r="J102" s="103">
        <f t="shared" si="36"/>
        <v>0</v>
      </c>
      <c r="K102" s="76"/>
      <c r="L102" s="103">
        <f t="shared" si="35"/>
        <v>0</v>
      </c>
      <c r="N102" s="405"/>
    </row>
    <row r="103" spans="2:14" s="154" customFormat="1" ht="12.7">
      <c r="B103" s="149" t="s">
        <v>315</v>
      </c>
      <c r="C103" s="150"/>
      <c r="D103" s="151"/>
      <c r="E103" s="152"/>
      <c r="F103" s="153"/>
      <c r="G103" s="102"/>
      <c r="H103" s="100" t="e">
        <f t="shared" si="34"/>
        <v>#DIV/0!</v>
      </c>
      <c r="I103" s="76"/>
      <c r="J103" s="103">
        <f t="shared" si="36"/>
        <v>0</v>
      </c>
      <c r="K103" s="76"/>
      <c r="L103" s="133"/>
      <c r="N103" s="405"/>
    </row>
    <row r="104" spans="2:14" s="154" customFormat="1" ht="12.7">
      <c r="B104" s="149" t="s">
        <v>316</v>
      </c>
      <c r="C104" s="150"/>
      <c r="D104" s="151"/>
      <c r="E104" s="152"/>
      <c r="F104" s="153"/>
      <c r="G104" s="102"/>
      <c r="H104" s="100" t="e">
        <f t="shared" si="34"/>
        <v>#DIV/0!</v>
      </c>
      <c r="I104" s="76"/>
      <c r="J104" s="103">
        <f t="shared" si="36"/>
        <v>0</v>
      </c>
      <c r="K104" s="76"/>
      <c r="L104" s="133"/>
      <c r="N104" s="405"/>
    </row>
    <row r="105" spans="2:14" s="154" customFormat="1" ht="12.7">
      <c r="B105" s="530" t="s">
        <v>138</v>
      </c>
      <c r="C105" s="530"/>
      <c r="D105" s="151"/>
      <c r="E105" s="152"/>
      <c r="F105" s="153"/>
      <c r="G105" s="102"/>
      <c r="H105" s="100" t="e">
        <f t="shared" si="34"/>
        <v>#DIV/0!</v>
      </c>
      <c r="I105" s="76"/>
      <c r="J105" s="103">
        <f t="shared" si="36"/>
        <v>0</v>
      </c>
      <c r="K105" s="76"/>
      <c r="L105" s="103">
        <f t="shared" si="35"/>
        <v>0</v>
      </c>
      <c r="N105" s="405"/>
    </row>
    <row r="106" spans="2:14" s="154" customFormat="1" ht="12.7">
      <c r="B106" s="529" t="s">
        <v>138</v>
      </c>
      <c r="C106" s="529"/>
      <c r="D106" s="162"/>
      <c r="E106" s="163"/>
      <c r="F106" s="163"/>
      <c r="G106" s="102"/>
      <c r="H106" s="100" t="e">
        <f t="shared" si="34"/>
        <v>#DIV/0!</v>
      </c>
      <c r="I106" s="91"/>
      <c r="J106" s="103">
        <f t="shared" si="36"/>
        <v>0</v>
      </c>
      <c r="K106" s="91"/>
      <c r="L106" s="103">
        <f t="shared" si="35"/>
        <v>0</v>
      </c>
      <c r="N106" s="405"/>
    </row>
    <row r="107" spans="2:14" s="154" customFormat="1" ht="12.7">
      <c r="B107" s="149"/>
      <c r="C107" s="150"/>
      <c r="D107" s="151"/>
      <c r="E107" s="152"/>
      <c r="F107" s="153" t="s">
        <v>230</v>
      </c>
      <c r="G107" s="109">
        <f>SUM(G65:G106)</f>
        <v>0</v>
      </c>
      <c r="H107" s="109" t="e">
        <f>G107/Units</f>
        <v>#DIV/0!</v>
      </c>
      <c r="J107" s="156">
        <f t="shared" ref="J107:L107" si="37">SUM(J65:J106)</f>
        <v>490588</v>
      </c>
      <c r="K107" s="156"/>
      <c r="L107" s="156">
        <f t="shared" si="37"/>
        <v>0</v>
      </c>
    </row>
    <row r="108" spans="2:14" s="154" customFormat="1" ht="12.7">
      <c r="B108" s="149"/>
      <c r="C108" s="150"/>
      <c r="D108" s="151"/>
      <c r="E108" s="152"/>
      <c r="F108" s="153"/>
      <c r="G108" s="156"/>
      <c r="H108" s="157"/>
      <c r="J108" s="155"/>
      <c r="L108" s="155"/>
    </row>
    <row r="109" spans="2:14" s="76" customFormat="1" ht="12.7">
      <c r="B109" s="117" t="s">
        <v>142</v>
      </c>
      <c r="C109" s="164"/>
      <c r="D109" s="165"/>
      <c r="E109" s="106"/>
      <c r="F109" s="166"/>
      <c r="G109" s="167"/>
      <c r="H109" s="116"/>
      <c r="I109" s="91"/>
      <c r="J109" s="91"/>
      <c r="K109" s="91"/>
      <c r="L109" s="91"/>
    </row>
    <row r="110" spans="2:14" s="76" customFormat="1" ht="12.7">
      <c r="B110" s="80" t="s">
        <v>145</v>
      </c>
      <c r="C110" s="168" t="str">
        <f>("Equal to lease-up of "&amp;ROUND((G110/('3)Operating Budget'!D74+'3)Operating Budget'!D85)*12*2),1)&amp;" months")</f>
        <v>Equal to lease-up of 0 months</v>
      </c>
      <c r="D110" s="169"/>
      <c r="E110" s="170" t="e">
        <f>("Sum of Lease Up Deficits: $"&amp;-ROUND(MIN('8)Lease-Up'!I5,0),0))</f>
        <v>#DIV/0!</v>
      </c>
      <c r="F110" s="95"/>
      <c r="G110" s="160"/>
      <c r="H110" s="100" t="e">
        <f t="shared" ref="H110:H117" si="38">G110/Units</f>
        <v>#DIV/0!</v>
      </c>
      <c r="J110" s="118"/>
      <c r="L110" s="126"/>
      <c r="N110" s="405"/>
    </row>
    <row r="111" spans="2:14" s="76" customFormat="1" ht="12.7">
      <c r="B111" s="80" t="s">
        <v>131</v>
      </c>
      <c r="C111" s="171" t="str">
        <f>("Equal to "&amp;ROUND((G111/(('3)Operating Budget'!D74+'3)Operating Budget'!D85)/12)),1)&amp;" months OpEx, RR &amp; Debt")</f>
        <v>Equal to 0 months OpEx, RR &amp; Debt</v>
      </c>
      <c r="D111" s="169"/>
      <c r="E111" s="81"/>
      <c r="F111" s="81"/>
      <c r="G111" s="102"/>
      <c r="H111" s="100" t="e">
        <f t="shared" si="38"/>
        <v>#DIV/0!</v>
      </c>
      <c r="J111" s="133"/>
      <c r="L111" s="133"/>
      <c r="N111" s="405"/>
    </row>
    <row r="112" spans="2:14" s="76" customFormat="1" ht="12.7">
      <c r="B112" s="80" t="s">
        <v>146</v>
      </c>
      <c r="C112" s="171"/>
      <c r="D112" s="81"/>
      <c r="E112" s="346"/>
      <c r="F112" s="347"/>
      <c r="G112" s="102"/>
      <c r="H112" s="100" t="e">
        <f t="shared" si="38"/>
        <v>#DIV/0!</v>
      </c>
      <c r="J112" s="133"/>
      <c r="L112" s="133"/>
      <c r="N112" s="405"/>
    </row>
    <row r="113" spans="1:14" s="76" customFormat="1" ht="12.7">
      <c r="B113" s="80" t="s">
        <v>129</v>
      </c>
      <c r="C113" s="171"/>
      <c r="D113" s="81"/>
      <c r="E113" s="75" t="s">
        <v>372</v>
      </c>
      <c r="F113" s="342">
        <f>'4)20 Yr Projection'!C61</f>
        <v>80611.123466941426</v>
      </c>
      <c r="G113" s="160"/>
      <c r="H113" s="100" t="e">
        <f>G113/Units</f>
        <v>#DIV/0!</v>
      </c>
      <c r="J113" s="133"/>
      <c r="L113" s="133"/>
      <c r="N113" s="405"/>
    </row>
    <row r="114" spans="1:14" s="76" customFormat="1" ht="12.7">
      <c r="B114" s="80" t="s">
        <v>277</v>
      </c>
      <c r="C114" s="171"/>
      <c r="D114" s="81"/>
      <c r="E114" s="172"/>
      <c r="F114" s="83"/>
      <c r="G114" s="102"/>
      <c r="H114" s="100" t="e">
        <f t="shared" si="38"/>
        <v>#DIV/0!</v>
      </c>
      <c r="J114" s="133"/>
      <c r="L114" s="133"/>
      <c r="N114" s="405"/>
    </row>
    <row r="115" spans="1:14" s="76" customFormat="1" ht="12.7">
      <c r="B115" s="530" t="s">
        <v>138</v>
      </c>
      <c r="C115" s="530"/>
      <c r="D115" s="81"/>
      <c r="E115" s="172"/>
      <c r="F115" s="83"/>
      <c r="G115" s="102"/>
      <c r="H115" s="100" t="e">
        <f t="shared" si="38"/>
        <v>#DIV/0!</v>
      </c>
      <c r="J115" s="133"/>
      <c r="L115" s="133"/>
      <c r="N115" s="405"/>
    </row>
    <row r="116" spans="1:14" s="76" customFormat="1" ht="12.7">
      <c r="B116" s="529" t="s">
        <v>138</v>
      </c>
      <c r="C116" s="529"/>
      <c r="D116" s="87"/>
      <c r="E116" s="87"/>
      <c r="F116" s="89"/>
      <c r="G116" s="102"/>
      <c r="H116" s="100" t="e">
        <f t="shared" si="38"/>
        <v>#DIV/0!</v>
      </c>
      <c r="I116" s="91"/>
      <c r="J116" s="133"/>
      <c r="K116" s="91"/>
      <c r="L116" s="133"/>
      <c r="N116" s="405"/>
    </row>
    <row r="117" spans="1:14" s="76" customFormat="1" ht="12.7">
      <c r="B117" s="80"/>
      <c r="C117" s="81"/>
      <c r="D117" s="81"/>
      <c r="E117" s="173"/>
      <c r="F117" s="97" t="s">
        <v>149</v>
      </c>
      <c r="G117" s="109">
        <f>SUM(G110:G116)</f>
        <v>0</v>
      </c>
      <c r="H117" s="109" t="e">
        <f t="shared" si="38"/>
        <v>#DIV/0!</v>
      </c>
      <c r="J117" s="110">
        <f>SUM(J110:J116)</f>
        <v>0</v>
      </c>
      <c r="L117" s="110">
        <f>SUM(L110:L116)</f>
        <v>0</v>
      </c>
    </row>
    <row r="118" spans="1:14" s="154" customFormat="1" ht="12.7">
      <c r="B118" s="149"/>
      <c r="C118" s="150"/>
      <c r="D118" s="151"/>
      <c r="E118" s="152"/>
      <c r="F118" s="153"/>
      <c r="G118" s="156"/>
      <c r="H118" s="157"/>
      <c r="J118" s="155"/>
      <c r="L118" s="155"/>
    </row>
    <row r="119" spans="1:14" s="76" customFormat="1" ht="12.7">
      <c r="B119" s="117" t="s">
        <v>231</v>
      </c>
      <c r="C119" s="164"/>
      <c r="D119" s="165"/>
      <c r="E119" s="106"/>
      <c r="F119" s="166"/>
      <c r="G119" s="167"/>
      <c r="H119" s="116"/>
      <c r="I119" s="91"/>
      <c r="J119" s="91"/>
      <c r="K119" s="91"/>
      <c r="L119" s="91"/>
    </row>
    <row r="120" spans="1:14" s="154" customFormat="1" ht="12.7">
      <c r="B120" s="149" t="s">
        <v>317</v>
      </c>
      <c r="C120" s="150"/>
      <c r="D120" s="151"/>
      <c r="E120" s="152"/>
      <c r="F120" s="153"/>
      <c r="G120" s="99"/>
      <c r="H120" s="100" t="e">
        <f t="shared" ref="H120:H122" si="39">G120/Units</f>
        <v>#DIV/0!</v>
      </c>
      <c r="I120" s="76"/>
      <c r="J120" s="103">
        <f t="shared" ref="J120:J122" si="40">G120</f>
        <v>0</v>
      </c>
      <c r="K120" s="76"/>
      <c r="L120" s="101">
        <f t="shared" ref="L120:L122" si="41">G120</f>
        <v>0</v>
      </c>
      <c r="N120" s="405"/>
    </row>
    <row r="121" spans="1:14" s="154" customFormat="1" ht="12.7">
      <c r="B121" s="149" t="s">
        <v>40</v>
      </c>
      <c r="C121" s="150"/>
      <c r="D121" s="151"/>
      <c r="E121" s="152"/>
      <c r="F121" s="153"/>
      <c r="G121" s="102"/>
      <c r="H121" s="100" t="e">
        <f t="shared" si="39"/>
        <v>#DIV/0!</v>
      </c>
      <c r="I121" s="76"/>
      <c r="J121" s="103">
        <f t="shared" si="40"/>
        <v>0</v>
      </c>
      <c r="K121" s="76"/>
      <c r="L121" s="103">
        <f>G121</f>
        <v>0</v>
      </c>
      <c r="N121" s="405"/>
    </row>
    <row r="122" spans="1:14" s="154" customFormat="1" ht="12.7">
      <c r="B122" s="529" t="s">
        <v>138</v>
      </c>
      <c r="C122" s="529"/>
      <c r="D122" s="162"/>
      <c r="E122" s="163"/>
      <c r="F122" s="89"/>
      <c r="G122" s="102"/>
      <c r="H122" s="100" t="e">
        <f t="shared" si="39"/>
        <v>#DIV/0!</v>
      </c>
      <c r="I122" s="91"/>
      <c r="J122" s="103">
        <f t="shared" si="40"/>
        <v>0</v>
      </c>
      <c r="K122" s="91"/>
      <c r="L122" s="103">
        <f t="shared" si="41"/>
        <v>0</v>
      </c>
      <c r="N122" s="405"/>
    </row>
    <row r="123" spans="1:14" s="154" customFormat="1" ht="12.7">
      <c r="B123" s="149"/>
      <c r="C123" s="150"/>
      <c r="D123" s="151"/>
      <c r="E123" s="174" t="str">
        <f>IF(G123&gt;MIN(C133,G134),"Fee Over COSA Limits","")</f>
        <v/>
      </c>
      <c r="F123" s="97" t="s">
        <v>232</v>
      </c>
      <c r="G123" s="109">
        <f>SUM(G120:G122)</f>
        <v>0</v>
      </c>
      <c r="H123" s="109" t="e">
        <f>G123/Units</f>
        <v>#DIV/0!</v>
      </c>
      <c r="I123" s="175"/>
      <c r="J123" s="156">
        <f>SUM(J120:J122)</f>
        <v>0</v>
      </c>
      <c r="L123" s="156">
        <f>SUM(L120:L122)</f>
        <v>0</v>
      </c>
      <c r="N123" s="176" t="s">
        <v>369</v>
      </c>
    </row>
    <row r="124" spans="1:14" s="154" customFormat="1" ht="12.7">
      <c r="B124" s="104"/>
      <c r="C124" s="165"/>
      <c r="D124" s="162"/>
      <c r="E124" s="163"/>
      <c r="F124" s="113"/>
      <c r="G124" s="177"/>
      <c r="H124" s="177"/>
      <c r="I124" s="178"/>
      <c r="J124" s="177"/>
      <c r="K124" s="178"/>
      <c r="L124" s="177"/>
    </row>
    <row r="125" spans="1:14" s="154" customFormat="1" ht="12.7">
      <c r="B125" s="115" t="s">
        <v>246</v>
      </c>
      <c r="C125" s="165"/>
      <c r="D125" s="162"/>
      <c r="E125" s="163"/>
      <c r="F125" s="113"/>
      <c r="G125" s="177">
        <f>G8+G10+G37+G61+G107+G117+G123</f>
        <v>0</v>
      </c>
      <c r="H125" s="177" t="e">
        <f>G125/Units</f>
        <v>#DIV/0!</v>
      </c>
      <c r="I125" s="177"/>
      <c r="J125" s="177">
        <f>J8+J10+J37+J61+J107+J117+J123</f>
        <v>490588</v>
      </c>
      <c r="K125" s="177"/>
      <c r="L125" s="177">
        <f>L8+L10+L37+L61+L107+L117+L123</f>
        <v>0</v>
      </c>
    </row>
    <row r="126" spans="1:14" s="154" customFormat="1" ht="12.7">
      <c r="B126" s="149"/>
      <c r="C126" s="150"/>
      <c r="D126" s="151"/>
      <c r="E126" s="152"/>
      <c r="F126" s="153"/>
      <c r="G126" s="156"/>
      <c r="H126" s="157"/>
      <c r="J126" s="155"/>
      <c r="L126" s="155">
        <f>+G125-L125</f>
        <v>0</v>
      </c>
    </row>
    <row r="127" spans="1:14" s="154" customFormat="1" ht="12.7">
      <c r="A127" s="175"/>
      <c r="B127" s="406" t="s">
        <v>318</v>
      </c>
      <c r="C127" s="407"/>
      <c r="D127" s="408"/>
      <c r="E127" s="409"/>
      <c r="F127" s="410" t="s">
        <v>279</v>
      </c>
      <c r="G127" s="411"/>
      <c r="H127" s="157"/>
      <c r="I127" s="175"/>
      <c r="J127" s="155"/>
      <c r="L127" s="155"/>
    </row>
    <row r="128" spans="1:14" s="154" customFormat="1" ht="12.7">
      <c r="A128" s="175"/>
      <c r="B128" s="412" t="s">
        <v>278</v>
      </c>
      <c r="C128" s="418">
        <f>G125</f>
        <v>0</v>
      </c>
      <c r="D128" s="419"/>
      <c r="E128" s="152"/>
      <c r="F128" s="420" t="s">
        <v>245</v>
      </c>
      <c r="G128" s="179" t="s">
        <v>392</v>
      </c>
      <c r="H128" s="157"/>
      <c r="I128" s="175"/>
      <c r="J128" s="155"/>
      <c r="L128" s="155"/>
    </row>
    <row r="129" spans="1:12" s="154" customFormat="1" ht="12.7">
      <c r="A129" s="175"/>
      <c r="B129" s="412" t="s">
        <v>280</v>
      </c>
      <c r="C129" s="418">
        <f>G123+G104</f>
        <v>0</v>
      </c>
      <c r="D129" s="419"/>
      <c r="E129" s="152"/>
      <c r="F129" s="421" t="s">
        <v>278</v>
      </c>
      <c r="G129" s="422">
        <f>G125</f>
        <v>0</v>
      </c>
      <c r="H129" s="157"/>
      <c r="I129" s="175"/>
      <c r="J129" s="155"/>
      <c r="L129" s="155"/>
    </row>
    <row r="130" spans="1:12" s="154" customFormat="1" ht="12.7">
      <c r="A130" s="175"/>
      <c r="B130" s="412" t="s">
        <v>281</v>
      </c>
      <c r="C130" s="418">
        <f>G103+G104</f>
        <v>0</v>
      </c>
      <c r="D130" s="419"/>
      <c r="E130" s="152"/>
      <c r="F130" s="421" t="s">
        <v>233</v>
      </c>
      <c r="G130" s="413">
        <f>MIN(G123,C133)</f>
        <v>0</v>
      </c>
      <c r="H130" s="157"/>
      <c r="I130" s="175"/>
      <c r="J130" s="155"/>
      <c r="L130" s="155"/>
    </row>
    <row r="131" spans="1:12" s="154" customFormat="1" ht="12.7">
      <c r="A131" s="175"/>
      <c r="B131" s="412" t="s">
        <v>282</v>
      </c>
      <c r="C131" s="418">
        <f>G117</f>
        <v>0</v>
      </c>
      <c r="D131" s="419"/>
      <c r="E131" s="152"/>
      <c r="F131" s="423" t="s">
        <v>283</v>
      </c>
      <c r="G131" s="413">
        <f>G129-G130</f>
        <v>0</v>
      </c>
      <c r="H131" s="157"/>
      <c r="I131" s="175"/>
      <c r="J131" s="155"/>
      <c r="L131" s="155"/>
    </row>
    <row r="132" spans="1:12" s="154" customFormat="1" ht="13">
      <c r="A132" s="175"/>
      <c r="B132" s="412" t="s">
        <v>284</v>
      </c>
      <c r="C132" s="418">
        <f>C128-C129-C130-C131</f>
        <v>0</v>
      </c>
      <c r="D132" s="419"/>
      <c r="E132" s="152"/>
      <c r="F132" s="421" t="s">
        <v>328</v>
      </c>
      <c r="G132" s="413" t="str">
        <f>IF(G128="Yes",20%*G131,"N/A")</f>
        <v>N/A</v>
      </c>
      <c r="H132" s="157"/>
      <c r="I132" s="175"/>
      <c r="J132" s="155"/>
      <c r="L132" s="155"/>
    </row>
    <row r="133" spans="1:12" s="154" customFormat="1" ht="13">
      <c r="A133" s="175"/>
      <c r="B133" s="414" t="s">
        <v>393</v>
      </c>
      <c r="C133" s="418">
        <f>15%*C132</f>
        <v>0</v>
      </c>
      <c r="D133" s="175"/>
      <c r="E133" s="175"/>
      <c r="F133" s="421" t="s">
        <v>234</v>
      </c>
      <c r="G133" s="413" t="str">
        <f>IF(G128="Yes",SUM(G31:G33),"N/A")</f>
        <v>N/A</v>
      </c>
      <c r="H133" s="157"/>
      <c r="I133" s="175"/>
      <c r="J133" s="155"/>
      <c r="L133" s="155"/>
    </row>
    <row r="134" spans="1:12" s="154" customFormat="1" ht="13">
      <c r="A134" s="175"/>
      <c r="B134" s="540" t="s">
        <v>285</v>
      </c>
      <c r="C134" s="539" t="str">
        <f>IF(G123&gt;C133,G123-C133,"Within Limit")</f>
        <v>Within Limit</v>
      </c>
      <c r="D134" s="175"/>
      <c r="E134" s="175"/>
      <c r="F134" s="424" t="s">
        <v>287</v>
      </c>
      <c r="G134" s="415" t="str">
        <f>IF(G128="Yes",G132-G133,"N/A")</f>
        <v>N/A</v>
      </c>
      <c r="H134" s="157"/>
      <c r="I134" s="175"/>
      <c r="J134" s="155"/>
      <c r="L134" s="155"/>
    </row>
    <row r="135" spans="1:12" s="154" customFormat="1" ht="13">
      <c r="A135" s="175"/>
      <c r="B135" s="541"/>
      <c r="C135" s="178"/>
      <c r="D135" s="178"/>
      <c r="E135" s="178"/>
      <c r="F135" s="416" t="s">
        <v>329</v>
      </c>
      <c r="G135" s="417" t="str">
        <f>IF(G128="Yes",MIN(C133,G134),"N/A")</f>
        <v>N/A</v>
      </c>
      <c r="H135" s="157"/>
      <c r="I135" s="175"/>
      <c r="J135" s="155"/>
      <c r="L135" s="155"/>
    </row>
    <row r="136" spans="1:12" s="154" customFormat="1" ht="12.7">
      <c r="D136" s="151"/>
      <c r="E136" s="151"/>
      <c r="H136" s="157"/>
      <c r="J136" s="155"/>
      <c r="L136" s="155"/>
    </row>
    <row r="137" spans="1:12" s="154" customFormat="1" ht="12.7">
      <c r="B137" s="149"/>
      <c r="C137" s="149"/>
      <c r="D137" s="151"/>
      <c r="E137" s="151"/>
      <c r="F137" s="149"/>
      <c r="G137" s="149"/>
      <c r="H137" s="157"/>
      <c r="J137" s="155"/>
      <c r="L137" s="155"/>
    </row>
    <row r="138" spans="1:12" s="154" customFormat="1" ht="12.7">
      <c r="D138" s="151"/>
      <c r="E138" s="151"/>
      <c r="F138" s="153"/>
      <c r="G138" s="156"/>
      <c r="H138" s="157"/>
      <c r="J138" s="155"/>
      <c r="L138" s="155"/>
    </row>
    <row r="139" spans="1:12" s="154" customFormat="1" ht="12.7">
      <c r="B139" s="149"/>
      <c r="C139" s="150"/>
      <c r="D139" s="151"/>
      <c r="E139" s="152"/>
      <c r="F139" s="153"/>
      <c r="G139" s="156"/>
      <c r="H139" s="157"/>
      <c r="J139" s="155"/>
      <c r="L139" s="155"/>
    </row>
    <row r="140" spans="1:12" s="154" customFormat="1" ht="12.7">
      <c r="B140" s="149"/>
      <c r="C140" s="150"/>
      <c r="D140" s="151"/>
      <c r="E140" s="152"/>
      <c r="F140" s="153"/>
      <c r="G140" s="156"/>
      <c r="H140" s="157"/>
      <c r="J140" s="155"/>
      <c r="L140" s="155"/>
    </row>
    <row r="141" spans="1:12" s="154" customFormat="1" ht="12.7">
      <c r="B141" s="149"/>
      <c r="C141" s="150"/>
      <c r="D141" s="151"/>
      <c r="E141" s="152"/>
      <c r="F141" s="153"/>
      <c r="G141" s="156"/>
      <c r="H141" s="157"/>
      <c r="J141" s="155"/>
      <c r="L141" s="155"/>
    </row>
    <row r="142" spans="1:12" s="76" customFormat="1" ht="12.7">
      <c r="C142" s="79"/>
      <c r="D142" s="79"/>
      <c r="G142" s="180"/>
      <c r="K142" s="181"/>
    </row>
    <row r="143" spans="1:12" s="76" customFormat="1" ht="12.7">
      <c r="C143" s="79"/>
      <c r="D143" s="79"/>
      <c r="G143" s="180"/>
      <c r="K143" s="181"/>
    </row>
    <row r="144" spans="1:12" s="76" customFormat="1" ht="12.7">
      <c r="C144" s="79"/>
      <c r="D144" s="79"/>
      <c r="G144" s="181"/>
      <c r="K144" s="182"/>
    </row>
    <row r="145" spans="3:7" s="76" customFormat="1" ht="12.7">
      <c r="C145" s="79"/>
      <c r="D145" s="79"/>
    </row>
    <row r="146" spans="3:7" s="76" customFormat="1" ht="12.7">
      <c r="C146" s="79"/>
      <c r="D146" s="79"/>
      <c r="G146" s="181"/>
    </row>
    <row r="147" spans="3:7" s="76" customFormat="1" ht="12.7">
      <c r="C147" s="79"/>
      <c r="D147" s="79"/>
      <c r="G147" s="181"/>
    </row>
    <row r="148" spans="3:7" s="76" customFormat="1" ht="12.7">
      <c r="C148" s="79"/>
      <c r="D148" s="79"/>
    </row>
    <row r="149" spans="3:7" s="76" customFormat="1" ht="12.7">
      <c r="C149" s="79"/>
      <c r="D149" s="79"/>
    </row>
  </sheetData>
  <sheetProtection algorithmName="SHA-512" hashValue="/uH2GH7WczCDCiqiYxIsPN8lsvRBEHKflL2D2ru29N0GeEx7x+sMgdXMspGHvXJ6TyWGVKklGd2CzY/q9esYJA==" saltValue="DuB04F1r5Wh6nSnDhO9tzQ==" spinCount="100000" sheet="1" objects="1" scenarios="1"/>
  <mergeCells count="20">
    <mergeCell ref="B22:C22"/>
    <mergeCell ref="B23:C23"/>
    <mergeCell ref="B15:C15"/>
    <mergeCell ref="B115:C115"/>
    <mergeCell ref="B1:N1"/>
    <mergeCell ref="B84:C84"/>
    <mergeCell ref="B85:C85"/>
    <mergeCell ref="B72:C72"/>
    <mergeCell ref="B73:C73"/>
    <mergeCell ref="B58:C58"/>
    <mergeCell ref="B59:C59"/>
    <mergeCell ref="B60:C60"/>
    <mergeCell ref="B35:C35"/>
    <mergeCell ref="B36:C36"/>
    <mergeCell ref="B116:C116"/>
    <mergeCell ref="B122:C122"/>
    <mergeCell ref="B105:C105"/>
    <mergeCell ref="B106:C106"/>
    <mergeCell ref="B92:C92"/>
    <mergeCell ref="B93:C93"/>
  </mergeCells>
  <phoneticPr fontId="0" type="noConversion"/>
  <dataValidations disablePrompts="1" count="1">
    <dataValidation type="list" showInputMessage="1" showErrorMessage="1" sqref="G128" xr:uid="{685CE83B-C370-4ADA-B309-486B3C4E7D04}">
      <formula1>"Yes,No"</formula1>
    </dataValidation>
  </dataValidations>
  <printOptions horizontalCentered="1"/>
  <pageMargins left="0.5" right="0.5" top="0.5" bottom="0.5" header="0.5" footer="0.5"/>
  <pageSetup scale="61" fitToHeight="2" orientation="landscape" r:id="rId1"/>
  <headerFooter alignWithMargins="0"/>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50"/>
  <sheetViews>
    <sheetView showGridLines="0" workbookViewId="0">
      <selection activeCell="C21" sqref="C21"/>
    </sheetView>
  </sheetViews>
  <sheetFormatPr defaultColWidth="8.8203125" defaultRowHeight="12.7"/>
  <cols>
    <col min="1" max="1" width="2.52734375" style="76" bestFit="1" customWidth="1"/>
    <col min="2" max="2" width="29.76171875" style="76" customWidth="1"/>
    <col min="3" max="3" width="10.41015625" style="76" bestFit="1" customWidth="1"/>
    <col min="4" max="4" width="8.87890625" style="76" bestFit="1" customWidth="1"/>
    <col min="5" max="5" width="14.8203125" style="76" bestFit="1" customWidth="1"/>
    <col min="6" max="16384" width="8.8203125" style="76"/>
  </cols>
  <sheetData>
    <row r="1" spans="1:6" ht="15.35">
      <c r="A1" s="144"/>
      <c r="B1" s="502" t="s">
        <v>91</v>
      </c>
      <c r="C1" s="502"/>
      <c r="D1" s="502"/>
      <c r="E1" s="502"/>
      <c r="F1" s="502"/>
    </row>
    <row r="2" spans="1:6">
      <c r="B2" s="78" t="str">
        <f>("Project: "&amp;Project)</f>
        <v xml:space="preserve">Project: </v>
      </c>
      <c r="E2" s="78" t="str">
        <f>("Developer: "&amp;Developer)</f>
        <v xml:space="preserve">Developer: </v>
      </c>
    </row>
    <row r="3" spans="1:6">
      <c r="B3" s="78"/>
      <c r="E3" s="78"/>
    </row>
    <row r="4" spans="1:6">
      <c r="B4" s="76" t="s">
        <v>33</v>
      </c>
      <c r="C4" s="76">
        <f>Units</f>
        <v>0</v>
      </c>
    </row>
    <row r="5" spans="1:6">
      <c r="B5" s="76" t="s">
        <v>95</v>
      </c>
      <c r="C5" s="154">
        <f>Units</f>
        <v>0</v>
      </c>
    </row>
    <row r="6" spans="1:6">
      <c r="B6" s="76" t="s">
        <v>322</v>
      </c>
      <c r="C6" s="154" t="e">
        <f>C5/C4</f>
        <v>#DIV/0!</v>
      </c>
    </row>
    <row r="7" spans="1:6">
      <c r="B7" s="78" t="s">
        <v>321</v>
      </c>
      <c r="C7" s="431" t="e">
        <f>C6</f>
        <v>#DIV/0!</v>
      </c>
    </row>
    <row r="9" spans="1:6">
      <c r="B9" s="76" t="s">
        <v>93</v>
      </c>
      <c r="C9" s="425">
        <f>'5)Dev Budget'!J8</f>
        <v>0</v>
      </c>
    </row>
    <row r="10" spans="1:6">
      <c r="B10" s="76" t="s">
        <v>94</v>
      </c>
      <c r="C10" s="425">
        <f>C11-C9</f>
        <v>490588</v>
      </c>
    </row>
    <row r="11" spans="1:6">
      <c r="B11" s="76" t="s">
        <v>92</v>
      </c>
      <c r="C11" s="425">
        <f>'5)Dev Budget'!J125</f>
        <v>490588</v>
      </c>
    </row>
    <row r="12" spans="1:6">
      <c r="C12" s="425"/>
    </row>
    <row r="13" spans="1:6">
      <c r="B13" s="76" t="s">
        <v>100</v>
      </c>
      <c r="C13" s="356">
        <v>1.3</v>
      </c>
    </row>
    <row r="15" spans="1:6">
      <c r="B15" s="76" t="s">
        <v>323</v>
      </c>
      <c r="C15" s="426">
        <v>0.04</v>
      </c>
    </row>
    <row r="16" spans="1:6">
      <c r="B16" s="76" t="s">
        <v>167</v>
      </c>
      <c r="C16" s="426">
        <v>0.09</v>
      </c>
    </row>
    <row r="18" spans="2:6">
      <c r="B18" s="76" t="s">
        <v>98</v>
      </c>
      <c r="C18" s="425" t="e">
        <f>C7*C9*C15</f>
        <v>#DIV/0!</v>
      </c>
    </row>
    <row r="19" spans="2:6">
      <c r="B19" s="76" t="s">
        <v>99</v>
      </c>
      <c r="C19" s="425" t="e">
        <f>C7*C13*C10*C16</f>
        <v>#DIV/0!</v>
      </c>
    </row>
    <row r="20" spans="2:6">
      <c r="B20" s="76" t="s">
        <v>237</v>
      </c>
      <c r="C20" s="425" t="e">
        <f>C18+C19</f>
        <v>#DIV/0!</v>
      </c>
    </row>
    <row r="21" spans="2:6">
      <c r="B21" s="78" t="s">
        <v>238</v>
      </c>
      <c r="C21" s="357" t="e">
        <f>C20</f>
        <v>#DIV/0!</v>
      </c>
      <c r="E21" s="427"/>
    </row>
    <row r="23" spans="2:6">
      <c r="B23" s="76" t="s">
        <v>96</v>
      </c>
      <c r="C23" s="358"/>
    </row>
    <row r="24" spans="2:6">
      <c r="B24" s="76" t="s">
        <v>324</v>
      </c>
      <c r="C24" s="432">
        <v>0.99990000000000001</v>
      </c>
    </row>
    <row r="26" spans="2:6">
      <c r="B26" s="76" t="s">
        <v>97</v>
      </c>
      <c r="C26" s="425" t="e">
        <f>C21*10*C23*C24</f>
        <v>#DIV/0!</v>
      </c>
    </row>
    <row r="27" spans="2:6">
      <c r="B27" s="78" t="s">
        <v>130</v>
      </c>
      <c r="C27" s="357">
        <f>IFERROR(0,C26)</f>
        <v>0</v>
      </c>
      <c r="D27" s="428" t="e">
        <f>Equity/C26-1</f>
        <v>#DIV/0!</v>
      </c>
      <c r="E27" s="76" t="s">
        <v>64</v>
      </c>
    </row>
    <row r="28" spans="2:6">
      <c r="D28" s="429"/>
      <c r="E28" s="430"/>
    </row>
    <row r="29" spans="2:6" ht="12.75" customHeight="1">
      <c r="B29" s="534" t="s">
        <v>258</v>
      </c>
      <c r="C29" s="534"/>
      <c r="D29" s="534"/>
      <c r="E29" s="534"/>
      <c r="F29" s="534"/>
    </row>
    <row r="30" spans="2:6" ht="12.75" customHeight="1">
      <c r="B30" s="534"/>
      <c r="C30" s="534"/>
      <c r="D30" s="534"/>
      <c r="E30" s="534"/>
      <c r="F30" s="534"/>
    </row>
    <row r="31" spans="2:6">
      <c r="B31" s="500"/>
      <c r="C31" s="500"/>
      <c r="D31" s="500"/>
      <c r="E31" s="500"/>
      <c r="F31" s="500"/>
    </row>
    <row r="32" spans="2:6">
      <c r="B32" s="500"/>
      <c r="C32" s="500"/>
      <c r="D32" s="500"/>
      <c r="E32" s="500"/>
      <c r="F32" s="500"/>
    </row>
    <row r="33" spans="2:6">
      <c r="B33" s="500"/>
      <c r="C33" s="500"/>
      <c r="D33" s="500"/>
      <c r="E33" s="500"/>
      <c r="F33" s="500"/>
    </row>
    <row r="34" spans="2:6">
      <c r="B34" s="500"/>
      <c r="C34" s="500"/>
      <c r="D34" s="500"/>
      <c r="E34" s="500"/>
      <c r="F34" s="500"/>
    </row>
    <row r="35" spans="2:6">
      <c r="B35" s="500"/>
      <c r="C35" s="500"/>
      <c r="D35" s="500"/>
      <c r="E35" s="500"/>
      <c r="F35" s="500"/>
    </row>
    <row r="36" spans="2:6">
      <c r="B36" s="500"/>
      <c r="C36" s="500"/>
      <c r="D36" s="500"/>
      <c r="E36" s="500"/>
      <c r="F36" s="500"/>
    </row>
    <row r="37" spans="2:6">
      <c r="B37" s="500"/>
      <c r="C37" s="500"/>
      <c r="D37" s="500"/>
      <c r="E37" s="500"/>
      <c r="F37" s="500"/>
    </row>
    <row r="38" spans="2:6">
      <c r="B38" s="500"/>
      <c r="C38" s="500"/>
      <c r="D38" s="500"/>
      <c r="E38" s="500"/>
      <c r="F38" s="500"/>
    </row>
    <row r="39" spans="2:6">
      <c r="B39" s="500"/>
      <c r="C39" s="500"/>
      <c r="D39" s="500"/>
      <c r="E39" s="500"/>
      <c r="F39" s="500"/>
    </row>
    <row r="40" spans="2:6">
      <c r="B40" s="500"/>
      <c r="C40" s="500"/>
      <c r="D40" s="500"/>
      <c r="E40" s="500"/>
      <c r="F40" s="500"/>
    </row>
    <row r="41" spans="2:6">
      <c r="B41" s="500"/>
      <c r="C41" s="500"/>
      <c r="D41" s="500"/>
      <c r="E41" s="500"/>
      <c r="F41" s="500"/>
    </row>
    <row r="42" spans="2:6">
      <c r="B42" s="500"/>
      <c r="C42" s="500"/>
      <c r="D42" s="500"/>
      <c r="E42" s="500"/>
      <c r="F42" s="500"/>
    </row>
    <row r="43" spans="2:6">
      <c r="B43" s="500"/>
      <c r="C43" s="500"/>
      <c r="D43" s="500"/>
      <c r="E43" s="500"/>
      <c r="F43" s="500"/>
    </row>
    <row r="44" spans="2:6">
      <c r="B44" s="500"/>
      <c r="C44" s="500"/>
      <c r="D44" s="500"/>
      <c r="E44" s="500"/>
      <c r="F44" s="500"/>
    </row>
    <row r="45" spans="2:6">
      <c r="B45" s="500"/>
      <c r="C45" s="500"/>
      <c r="D45" s="500"/>
      <c r="E45" s="500"/>
      <c r="F45" s="500"/>
    </row>
    <row r="46" spans="2:6">
      <c r="B46" s="500"/>
      <c r="C46" s="500"/>
      <c r="D46" s="500"/>
      <c r="E46" s="500"/>
      <c r="F46" s="500"/>
    </row>
    <row r="47" spans="2:6">
      <c r="B47" s="500"/>
      <c r="C47" s="500"/>
      <c r="D47" s="500"/>
      <c r="E47" s="500"/>
      <c r="F47" s="500"/>
    </row>
    <row r="48" spans="2:6">
      <c r="B48" s="500"/>
      <c r="C48" s="500"/>
      <c r="D48" s="500"/>
      <c r="E48" s="500"/>
      <c r="F48" s="500"/>
    </row>
    <row r="49" spans="2:6">
      <c r="B49" s="500"/>
      <c r="C49" s="500"/>
      <c r="D49" s="500"/>
      <c r="E49" s="500"/>
      <c r="F49" s="500"/>
    </row>
    <row r="50" spans="2:6">
      <c r="B50" s="500"/>
      <c r="C50" s="500"/>
      <c r="D50" s="500"/>
      <c r="E50" s="500"/>
      <c r="F50" s="500"/>
    </row>
  </sheetData>
  <sheetProtection algorithmName="SHA-512" hashValue="Y9atwbeEyLQVTzdr6yXTf0uDpOdejkac9j0YmImc1ATj+qPDbkyIEkDi9ADni77YgfhPLZnw6hPIKvyB5KJPDw==" saltValue="JaedddyYzW6CIuDYg3Dp8w==" spinCount="100000" sheet="1" objects="1" scenarios="1"/>
  <mergeCells count="22">
    <mergeCell ref="B43:F43"/>
    <mergeCell ref="B31:F31"/>
    <mergeCell ref="B32:F32"/>
    <mergeCell ref="B33:F33"/>
    <mergeCell ref="B34:F34"/>
    <mergeCell ref="B42:F42"/>
    <mergeCell ref="B1:F1"/>
    <mergeCell ref="B49:F49"/>
    <mergeCell ref="B50:F50"/>
    <mergeCell ref="B29:F30"/>
    <mergeCell ref="B44:F44"/>
    <mergeCell ref="B45:F45"/>
    <mergeCell ref="B46:F46"/>
    <mergeCell ref="B47:F47"/>
    <mergeCell ref="B48:F48"/>
    <mergeCell ref="B35:F35"/>
    <mergeCell ref="B36:F36"/>
    <mergeCell ref="B37:F37"/>
    <mergeCell ref="B38:F38"/>
    <mergeCell ref="B39:F39"/>
    <mergeCell ref="B40:F40"/>
    <mergeCell ref="B41:F41"/>
  </mergeCells>
  <phoneticPr fontId="0" type="noConversion"/>
  <dataValidations count="1">
    <dataValidation type="list" allowBlank="1" showInputMessage="1" showErrorMessage="1" sqref="C13" xr:uid="{00000000-0002-0000-0700-000000000000}">
      <formula1>"100%,130%"</formula1>
    </dataValidation>
  </dataValidations>
  <printOptions horizontalCentered="1"/>
  <pageMargins left="0.5" right="0.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0"/>
  <sheetViews>
    <sheetView showGridLines="0" workbookViewId="0">
      <selection activeCell="C2" sqref="C2"/>
    </sheetView>
  </sheetViews>
  <sheetFormatPr defaultColWidth="8.8203125" defaultRowHeight="12.7"/>
  <cols>
    <col min="1" max="1" width="38.703125" style="470" bestFit="1" customWidth="1"/>
    <col min="2" max="3" width="13.29296875" style="76" bestFit="1" customWidth="1"/>
    <col min="4" max="4" width="13.3515625" style="76" bestFit="1" customWidth="1"/>
    <col min="5" max="6" width="12.29296875" style="76" bestFit="1" customWidth="1"/>
    <col min="7" max="7" width="13.3515625" style="76" bestFit="1" customWidth="1"/>
    <col min="8" max="8" width="12.703125" style="76" bestFit="1" customWidth="1"/>
    <col min="9" max="10" width="12.29296875" style="76" bestFit="1" customWidth="1"/>
    <col min="11" max="11" width="12.5859375" style="76" bestFit="1" customWidth="1"/>
    <col min="12" max="12" width="13.29296875" style="76" bestFit="1" customWidth="1"/>
    <col min="13" max="13" width="11.703125" style="76" customWidth="1"/>
    <col min="14" max="14" width="11.703125" style="76" bestFit="1" customWidth="1"/>
    <col min="15" max="16" width="11.5859375" style="76" customWidth="1"/>
    <col min="17" max="17" width="12.5859375" style="76" customWidth="1"/>
    <col min="18" max="18" width="11.3515625" style="76" bestFit="1" customWidth="1"/>
    <col min="19" max="26" width="11.3515625" style="76" customWidth="1"/>
    <col min="27" max="27" width="12.05859375" style="76" customWidth="1"/>
    <col min="28" max="31" width="11.3515625" style="76" customWidth="1"/>
    <col min="32" max="32" width="11.8203125" style="76" bestFit="1" customWidth="1"/>
    <col min="33" max="36" width="11.3515625" style="76" customWidth="1"/>
    <col min="37" max="39" width="11.8203125" style="76" bestFit="1" customWidth="1"/>
    <col min="40" max="40" width="12.5859375" style="76" customWidth="1"/>
    <col min="41" max="41" width="8.8203125" style="76"/>
    <col min="42" max="42" width="11.703125" style="76" customWidth="1"/>
    <col min="43" max="16384" width="8.8203125" style="76"/>
  </cols>
  <sheetData>
    <row r="1" spans="1:43" s="183" customFormat="1" ht="14" thickBot="1">
      <c r="A1" s="535" t="s">
        <v>133</v>
      </c>
      <c r="B1" s="536"/>
      <c r="C1" s="78" t="str">
        <f>("Project: "&amp;Project)</f>
        <v xml:space="preserve">Project: </v>
      </c>
      <c r="E1" s="76"/>
      <c r="F1" s="78" t="str">
        <f>("Developer: "&amp;Developer)</f>
        <v xml:space="preserve">Developer: </v>
      </c>
      <c r="I1" s="78" t="str">
        <f>("Project: "&amp;Project)</f>
        <v xml:space="preserve">Project: </v>
      </c>
      <c r="K1" s="76"/>
      <c r="L1" s="78" t="str">
        <f>("Developer: "&amp;Developer)</f>
        <v xml:space="preserve">Developer: </v>
      </c>
      <c r="M1" s="433"/>
      <c r="N1" s="433"/>
      <c r="O1" s="78" t="str">
        <f>("Project: "&amp;Project)</f>
        <v xml:space="preserve">Project: </v>
      </c>
      <c r="Q1" s="76"/>
      <c r="R1" s="78" t="str">
        <f>("Developer: "&amp;Developer)</f>
        <v xml:space="preserve">Developer: </v>
      </c>
      <c r="S1" s="433"/>
      <c r="T1" s="433"/>
      <c r="U1" s="78" t="str">
        <f>("Project: "&amp;Project)</f>
        <v xml:space="preserve">Project: </v>
      </c>
      <c r="W1" s="76"/>
      <c r="X1" s="78" t="str">
        <f>("Developer: "&amp;Developer)</f>
        <v xml:space="preserve">Developer: </v>
      </c>
      <c r="Y1" s="433"/>
      <c r="Z1" s="433"/>
      <c r="AA1" s="78" t="str">
        <f>("Project: "&amp;Project)</f>
        <v xml:space="preserve">Project: </v>
      </c>
      <c r="AC1" s="76"/>
      <c r="AD1" s="78" t="str">
        <f>("Developer: "&amp;Developer)</f>
        <v xml:space="preserve">Developer: </v>
      </c>
      <c r="AE1" s="433"/>
      <c r="AF1" s="433"/>
      <c r="AG1" s="78" t="str">
        <f>("Project: "&amp;Project)</f>
        <v xml:space="preserve">Project: </v>
      </c>
      <c r="AI1" s="76"/>
      <c r="AJ1" s="78" t="str">
        <f>("Developer: "&amp;Developer)</f>
        <v xml:space="preserve">Developer: </v>
      </c>
      <c r="AK1" s="433"/>
      <c r="AL1" s="433"/>
      <c r="AM1" s="78" t="str">
        <f>("Project: "&amp;Project)</f>
        <v xml:space="preserve">Project: </v>
      </c>
      <c r="AO1" s="76"/>
      <c r="AP1" s="78" t="str">
        <f>("Developer: "&amp;Developer)</f>
        <v xml:space="preserve">Developer: </v>
      </c>
      <c r="AQ1" s="433"/>
    </row>
    <row r="2" spans="1:43">
      <c r="A2" s="434"/>
      <c r="B2" s="91"/>
      <c r="C2" s="471">
        <v>36892</v>
      </c>
      <c r="D2" s="435">
        <f>(EDATE(C2,1))</f>
        <v>36923</v>
      </c>
      <c r="E2" s="435">
        <f>(EDATE(D2,1))</f>
        <v>36951</v>
      </c>
      <c r="F2" s="435">
        <f>(EDATE(E2,1))</f>
        <v>36982</v>
      </c>
      <c r="G2" s="435">
        <f t="shared" ref="G2:AA2" si="0">(EDATE(F2,1))</f>
        <v>37012</v>
      </c>
      <c r="H2" s="435">
        <f t="shared" si="0"/>
        <v>37043</v>
      </c>
      <c r="I2" s="435">
        <f t="shared" si="0"/>
        <v>37073</v>
      </c>
      <c r="J2" s="435">
        <f t="shared" si="0"/>
        <v>37104</v>
      </c>
      <c r="K2" s="435">
        <f t="shared" si="0"/>
        <v>37135</v>
      </c>
      <c r="L2" s="435">
        <f t="shared" si="0"/>
        <v>37165</v>
      </c>
      <c r="M2" s="435">
        <f t="shared" si="0"/>
        <v>37196</v>
      </c>
      <c r="N2" s="435">
        <f t="shared" si="0"/>
        <v>37226</v>
      </c>
      <c r="O2" s="435">
        <f t="shared" si="0"/>
        <v>37257</v>
      </c>
      <c r="P2" s="435">
        <f t="shared" si="0"/>
        <v>37288</v>
      </c>
      <c r="Q2" s="435">
        <f t="shared" si="0"/>
        <v>37316</v>
      </c>
      <c r="R2" s="435">
        <f t="shared" si="0"/>
        <v>37347</v>
      </c>
      <c r="S2" s="435">
        <f t="shared" si="0"/>
        <v>37377</v>
      </c>
      <c r="T2" s="435">
        <f t="shared" si="0"/>
        <v>37408</v>
      </c>
      <c r="U2" s="435">
        <f t="shared" si="0"/>
        <v>37438</v>
      </c>
      <c r="V2" s="435">
        <f t="shared" si="0"/>
        <v>37469</v>
      </c>
      <c r="W2" s="435">
        <f t="shared" si="0"/>
        <v>37500</v>
      </c>
      <c r="X2" s="435">
        <f t="shared" si="0"/>
        <v>37530</v>
      </c>
      <c r="Y2" s="435">
        <f t="shared" si="0"/>
        <v>37561</v>
      </c>
      <c r="Z2" s="435">
        <f t="shared" si="0"/>
        <v>37591</v>
      </c>
      <c r="AA2" s="435">
        <f t="shared" si="0"/>
        <v>37622</v>
      </c>
      <c r="AB2" s="435">
        <f t="shared" ref="AB2" si="1">(EDATE(AA2,1))</f>
        <v>37653</v>
      </c>
      <c r="AC2" s="435">
        <f t="shared" ref="AC2" si="2">(EDATE(AB2,1))</f>
        <v>37681</v>
      </c>
      <c r="AD2" s="435">
        <f t="shared" ref="AD2" si="3">(EDATE(AC2,1))</f>
        <v>37712</v>
      </c>
      <c r="AE2" s="435">
        <f t="shared" ref="AE2" si="4">(EDATE(AD2,1))</f>
        <v>37742</v>
      </c>
      <c r="AF2" s="435">
        <f t="shared" ref="AF2" si="5">(EDATE(AE2,1))</f>
        <v>37773</v>
      </c>
      <c r="AG2" s="435">
        <f t="shared" ref="AG2" si="6">(EDATE(AF2,1))</f>
        <v>37803</v>
      </c>
      <c r="AH2" s="435">
        <f t="shared" ref="AH2" si="7">(EDATE(AG2,1))</f>
        <v>37834</v>
      </c>
      <c r="AI2" s="435">
        <f t="shared" ref="AI2" si="8">(EDATE(AH2,1))</f>
        <v>37865</v>
      </c>
      <c r="AJ2" s="435">
        <f t="shared" ref="AJ2" si="9">(EDATE(AI2,1))</f>
        <v>37895</v>
      </c>
      <c r="AK2" s="435">
        <f t="shared" ref="AK2" si="10">(EDATE(AJ2,1))</f>
        <v>37926</v>
      </c>
      <c r="AL2" s="435">
        <f t="shared" ref="AL2" si="11">(EDATE(AK2,1))</f>
        <v>37956</v>
      </c>
      <c r="AM2" s="435">
        <f t="shared" ref="AM2" si="12">(EDATE(AL2,1))</f>
        <v>37987</v>
      </c>
      <c r="AN2" s="91"/>
      <c r="AO2" s="91"/>
      <c r="AP2" s="91"/>
    </row>
    <row r="3" spans="1:43" s="78" customFormat="1">
      <c r="A3" s="436"/>
      <c r="B3" s="437" t="s">
        <v>41</v>
      </c>
      <c r="C3" s="438" t="s">
        <v>61</v>
      </c>
      <c r="D3" s="437" t="s">
        <v>61</v>
      </c>
      <c r="E3" s="439" t="s">
        <v>61</v>
      </c>
      <c r="F3" s="439" t="s">
        <v>61</v>
      </c>
      <c r="G3" s="439" t="s">
        <v>61</v>
      </c>
      <c r="H3" s="439" t="s">
        <v>61</v>
      </c>
      <c r="I3" s="437" t="s">
        <v>61</v>
      </c>
      <c r="J3" s="440" t="s">
        <v>61</v>
      </c>
      <c r="K3" s="437" t="s">
        <v>61</v>
      </c>
      <c r="L3" s="440" t="s">
        <v>61</v>
      </c>
      <c r="M3" s="439" t="s">
        <v>61</v>
      </c>
      <c r="N3" s="439" t="s">
        <v>61</v>
      </c>
      <c r="O3" s="439" t="s">
        <v>61</v>
      </c>
      <c r="P3" s="440" t="s">
        <v>61</v>
      </c>
      <c r="Q3" s="437" t="s">
        <v>61</v>
      </c>
      <c r="R3" s="440" t="s">
        <v>61</v>
      </c>
      <c r="S3" s="437" t="s">
        <v>61</v>
      </c>
      <c r="T3" s="440" t="s">
        <v>61</v>
      </c>
      <c r="U3" s="440" t="s">
        <v>61</v>
      </c>
      <c r="V3" s="440" t="s">
        <v>61</v>
      </c>
      <c r="W3" s="440" t="s">
        <v>61</v>
      </c>
      <c r="X3" s="440" t="s">
        <v>61</v>
      </c>
      <c r="Y3" s="440" t="s">
        <v>61</v>
      </c>
      <c r="Z3" s="440" t="s">
        <v>61</v>
      </c>
      <c r="AA3" s="440" t="s">
        <v>61</v>
      </c>
      <c r="AB3" s="440" t="s">
        <v>61</v>
      </c>
      <c r="AC3" s="440" t="s">
        <v>61</v>
      </c>
      <c r="AD3" s="440" t="s">
        <v>61</v>
      </c>
      <c r="AE3" s="440" t="s">
        <v>61</v>
      </c>
      <c r="AF3" s="440" t="s">
        <v>61</v>
      </c>
      <c r="AG3" s="440" t="s">
        <v>61</v>
      </c>
      <c r="AH3" s="440" t="s">
        <v>61</v>
      </c>
      <c r="AI3" s="440" t="s">
        <v>61</v>
      </c>
      <c r="AJ3" s="440" t="s">
        <v>61</v>
      </c>
      <c r="AK3" s="440" t="s">
        <v>61</v>
      </c>
      <c r="AL3" s="440" t="s">
        <v>61</v>
      </c>
      <c r="AM3" s="440" t="s">
        <v>61</v>
      </c>
      <c r="AN3" s="437"/>
      <c r="AO3" s="437" t="s">
        <v>62</v>
      </c>
    </row>
    <row r="4" spans="1:43" s="78" customFormat="1" ht="13.7">
      <c r="A4" s="441" t="s">
        <v>55</v>
      </c>
      <c r="B4" s="442" t="s">
        <v>60</v>
      </c>
      <c r="C4" s="443">
        <v>1</v>
      </c>
      <c r="D4" s="442">
        <f>C4+1</f>
        <v>2</v>
      </c>
      <c r="E4" s="444">
        <f t="shared" ref="E4:T4" si="13">D4+1</f>
        <v>3</v>
      </c>
      <c r="F4" s="444">
        <f t="shared" si="13"/>
        <v>4</v>
      </c>
      <c r="G4" s="444">
        <f t="shared" si="13"/>
        <v>5</v>
      </c>
      <c r="H4" s="444">
        <f t="shared" si="13"/>
        <v>6</v>
      </c>
      <c r="I4" s="442">
        <f t="shared" si="13"/>
        <v>7</v>
      </c>
      <c r="J4" s="444">
        <f t="shared" si="13"/>
        <v>8</v>
      </c>
      <c r="K4" s="442">
        <f t="shared" si="13"/>
        <v>9</v>
      </c>
      <c r="L4" s="444">
        <f t="shared" si="13"/>
        <v>10</v>
      </c>
      <c r="M4" s="444">
        <f t="shared" si="13"/>
        <v>11</v>
      </c>
      <c r="N4" s="444">
        <f t="shared" si="13"/>
        <v>12</v>
      </c>
      <c r="O4" s="444">
        <f t="shared" si="13"/>
        <v>13</v>
      </c>
      <c r="P4" s="444">
        <f t="shared" si="13"/>
        <v>14</v>
      </c>
      <c r="Q4" s="442">
        <f t="shared" si="13"/>
        <v>15</v>
      </c>
      <c r="R4" s="444">
        <f t="shared" si="13"/>
        <v>16</v>
      </c>
      <c r="S4" s="442">
        <f t="shared" si="13"/>
        <v>17</v>
      </c>
      <c r="T4" s="444">
        <f t="shared" si="13"/>
        <v>18</v>
      </c>
      <c r="U4" s="444">
        <f t="shared" ref="U4" si="14">T4+1</f>
        <v>19</v>
      </c>
      <c r="V4" s="444">
        <f t="shared" ref="V4" si="15">U4+1</f>
        <v>20</v>
      </c>
      <c r="W4" s="444">
        <f t="shared" ref="W4" si="16">V4+1</f>
        <v>21</v>
      </c>
      <c r="X4" s="444">
        <f t="shared" ref="X4" si="17">W4+1</f>
        <v>22</v>
      </c>
      <c r="Y4" s="444">
        <f t="shared" ref="Y4" si="18">X4+1</f>
        <v>23</v>
      </c>
      <c r="Z4" s="444">
        <f t="shared" ref="Z4" si="19">Y4+1</f>
        <v>24</v>
      </c>
      <c r="AA4" s="444">
        <f t="shared" ref="AA4" si="20">Z4+1</f>
        <v>25</v>
      </c>
      <c r="AB4" s="444">
        <f t="shared" ref="AB4" si="21">AA4+1</f>
        <v>26</v>
      </c>
      <c r="AC4" s="444">
        <f t="shared" ref="AC4" si="22">AB4+1</f>
        <v>27</v>
      </c>
      <c r="AD4" s="444">
        <f t="shared" ref="AD4" si="23">AC4+1</f>
        <v>28</v>
      </c>
      <c r="AE4" s="444">
        <f t="shared" ref="AE4" si="24">AD4+1</f>
        <v>29</v>
      </c>
      <c r="AF4" s="444">
        <f t="shared" ref="AF4" si="25">AE4+1</f>
        <v>30</v>
      </c>
      <c r="AG4" s="444">
        <f t="shared" ref="AG4" si="26">AF4+1</f>
        <v>31</v>
      </c>
      <c r="AH4" s="444">
        <f t="shared" ref="AH4" si="27">AG4+1</f>
        <v>32</v>
      </c>
      <c r="AI4" s="444">
        <f t="shared" ref="AI4" si="28">AH4+1</f>
        <v>33</v>
      </c>
      <c r="AJ4" s="444">
        <f t="shared" ref="AJ4" si="29">AI4+1</f>
        <v>34</v>
      </c>
      <c r="AK4" s="444">
        <f t="shared" ref="AK4" si="30">AJ4+1</f>
        <v>35</v>
      </c>
      <c r="AL4" s="444">
        <f t="shared" ref="AL4" si="31">AK4+1</f>
        <v>36</v>
      </c>
      <c r="AM4" s="444">
        <f t="shared" ref="AM4" si="32">AL4+1</f>
        <v>37</v>
      </c>
      <c r="AN4" s="442" t="s">
        <v>41</v>
      </c>
      <c r="AO4" s="442" t="s">
        <v>63</v>
      </c>
      <c r="AP4" s="445" t="s">
        <v>64</v>
      </c>
    </row>
    <row r="5" spans="1:43">
      <c r="A5" s="446" t="s">
        <v>39</v>
      </c>
      <c r="B5" s="307">
        <f>'5)Dev Budget'!G8</f>
        <v>0</v>
      </c>
      <c r="C5" s="473"/>
      <c r="D5" s="474"/>
      <c r="E5" s="472"/>
      <c r="F5" s="472"/>
      <c r="G5" s="472"/>
      <c r="H5" s="472"/>
      <c r="I5" s="474"/>
      <c r="J5" s="472"/>
      <c r="K5" s="474"/>
      <c r="L5" s="472"/>
      <c r="M5" s="475"/>
      <c r="N5" s="472"/>
      <c r="O5" s="472"/>
      <c r="P5" s="472"/>
      <c r="Q5" s="474"/>
      <c r="R5" s="472"/>
      <c r="S5" s="474"/>
      <c r="T5" s="472"/>
      <c r="U5" s="472"/>
      <c r="V5" s="472"/>
      <c r="W5" s="472"/>
      <c r="X5" s="472"/>
      <c r="Y5" s="472"/>
      <c r="Z5" s="472"/>
      <c r="AA5" s="472"/>
      <c r="AB5" s="472"/>
      <c r="AC5" s="472"/>
      <c r="AD5" s="472"/>
      <c r="AE5" s="472"/>
      <c r="AF5" s="472"/>
      <c r="AG5" s="472"/>
      <c r="AH5" s="472"/>
      <c r="AI5" s="472"/>
      <c r="AJ5" s="472"/>
      <c r="AK5" s="472"/>
      <c r="AL5" s="472"/>
      <c r="AM5" s="472"/>
      <c r="AN5" s="484">
        <f t="shared" ref="AN5:AN12" si="33">SUM(C5:AM5)</f>
        <v>0</v>
      </c>
      <c r="AO5" s="76" t="str">
        <f>IF(ABS(AN5-B5)&lt;1,"Balanced",IF(AN5&gt;B5,"Over","Under"))</f>
        <v>Balanced</v>
      </c>
      <c r="AP5" s="180">
        <f>B5-AN5</f>
        <v>0</v>
      </c>
    </row>
    <row r="6" spans="1:43">
      <c r="A6" s="446" t="s">
        <v>239</v>
      </c>
      <c r="B6" s="307">
        <f>'5)Dev Budget'!G10</f>
        <v>0</v>
      </c>
      <c r="C6" s="473"/>
      <c r="D6" s="474"/>
      <c r="E6" s="472"/>
      <c r="F6" s="472"/>
      <c r="G6" s="472"/>
      <c r="H6" s="472"/>
      <c r="I6" s="474"/>
      <c r="J6" s="472"/>
      <c r="K6" s="474"/>
      <c r="L6" s="472"/>
      <c r="M6" s="472"/>
      <c r="N6" s="472"/>
      <c r="O6" s="472"/>
      <c r="P6" s="472"/>
      <c r="Q6" s="474"/>
      <c r="R6" s="472"/>
      <c r="S6" s="474"/>
      <c r="T6" s="472"/>
      <c r="U6" s="472"/>
      <c r="V6" s="472"/>
      <c r="W6" s="472"/>
      <c r="X6" s="472"/>
      <c r="Y6" s="472"/>
      <c r="Z6" s="472"/>
      <c r="AA6" s="472"/>
      <c r="AB6" s="472"/>
      <c r="AC6" s="472"/>
      <c r="AD6" s="472"/>
      <c r="AE6" s="472"/>
      <c r="AF6" s="472"/>
      <c r="AG6" s="472"/>
      <c r="AH6" s="472"/>
      <c r="AI6" s="472"/>
      <c r="AJ6" s="472"/>
      <c r="AK6" s="472"/>
      <c r="AL6" s="472"/>
      <c r="AM6" s="472"/>
      <c r="AN6" s="180">
        <f t="shared" si="33"/>
        <v>0</v>
      </c>
      <c r="AO6" s="76" t="str">
        <f t="shared" ref="AO6:AO12" si="34">IF(ABS(AN6-B6)&lt;1,"Balanced",IF(AN6&gt;B6,"Over","Under"))</f>
        <v>Balanced</v>
      </c>
      <c r="AP6" s="180">
        <f>B6-AN6</f>
        <v>0</v>
      </c>
    </row>
    <row r="7" spans="1:43">
      <c r="A7" s="446" t="s">
        <v>240</v>
      </c>
      <c r="B7" s="307">
        <f>'5)Dev Budget'!G37</f>
        <v>0</v>
      </c>
      <c r="C7" s="473"/>
      <c r="D7" s="473"/>
      <c r="E7" s="473"/>
      <c r="F7" s="473"/>
      <c r="G7" s="473"/>
      <c r="H7" s="473"/>
      <c r="I7" s="473"/>
      <c r="J7" s="473"/>
      <c r="K7" s="473"/>
      <c r="L7" s="473"/>
      <c r="M7" s="472"/>
      <c r="N7" s="472"/>
      <c r="O7" s="472"/>
      <c r="P7" s="473"/>
      <c r="Q7" s="473"/>
      <c r="R7" s="473"/>
      <c r="S7" s="473"/>
      <c r="T7" s="472"/>
      <c r="U7" s="472"/>
      <c r="V7" s="472"/>
      <c r="W7" s="472"/>
      <c r="X7" s="472"/>
      <c r="Y7" s="472"/>
      <c r="Z7" s="472"/>
      <c r="AA7" s="472"/>
      <c r="AB7" s="472"/>
      <c r="AC7" s="472"/>
      <c r="AD7" s="472"/>
      <c r="AE7" s="472"/>
      <c r="AF7" s="472"/>
      <c r="AG7" s="472"/>
      <c r="AH7" s="472"/>
      <c r="AI7" s="472"/>
      <c r="AJ7" s="472"/>
      <c r="AK7" s="472"/>
      <c r="AL7" s="472"/>
      <c r="AM7" s="472"/>
      <c r="AN7" s="180">
        <f t="shared" si="33"/>
        <v>0</v>
      </c>
      <c r="AO7" s="76" t="str">
        <f t="shared" si="34"/>
        <v>Balanced</v>
      </c>
      <c r="AP7" s="180">
        <f>B7-AN7</f>
        <v>0</v>
      </c>
    </row>
    <row r="8" spans="1:43">
      <c r="A8" s="446" t="s">
        <v>241</v>
      </c>
      <c r="B8" s="307">
        <f>'5)Dev Budget'!G61</f>
        <v>0</v>
      </c>
      <c r="C8" s="473"/>
      <c r="D8" s="473"/>
      <c r="E8" s="473"/>
      <c r="F8" s="473"/>
      <c r="G8" s="473"/>
      <c r="H8" s="472"/>
      <c r="I8" s="473"/>
      <c r="J8" s="473"/>
      <c r="K8" s="473"/>
      <c r="L8" s="473"/>
      <c r="M8" s="472"/>
      <c r="N8" s="472"/>
      <c r="O8" s="472"/>
      <c r="P8" s="472"/>
      <c r="Q8" s="474"/>
      <c r="R8" s="472"/>
      <c r="S8" s="474"/>
      <c r="T8" s="472"/>
      <c r="U8" s="472"/>
      <c r="V8" s="472"/>
      <c r="W8" s="472"/>
      <c r="X8" s="472"/>
      <c r="Y8" s="472"/>
      <c r="Z8" s="472"/>
      <c r="AA8" s="472"/>
      <c r="AB8" s="472"/>
      <c r="AC8" s="472"/>
      <c r="AD8" s="472"/>
      <c r="AE8" s="472"/>
      <c r="AF8" s="472"/>
      <c r="AG8" s="472"/>
      <c r="AH8" s="472"/>
      <c r="AI8" s="472"/>
      <c r="AJ8" s="472"/>
      <c r="AK8" s="472"/>
      <c r="AL8" s="472"/>
      <c r="AM8" s="472"/>
      <c r="AN8" s="180">
        <f t="shared" si="33"/>
        <v>0</v>
      </c>
      <c r="AO8" s="76" t="str">
        <f t="shared" si="34"/>
        <v>Balanced</v>
      </c>
      <c r="AP8" s="180">
        <f>B8-AN8</f>
        <v>0</v>
      </c>
    </row>
    <row r="9" spans="1:43">
      <c r="A9" s="446" t="s">
        <v>257</v>
      </c>
      <c r="B9" s="307">
        <f>'5)Dev Budget'!G107-'5)Dev Budget'!G65</f>
        <v>0</v>
      </c>
      <c r="C9" s="473"/>
      <c r="D9" s="473"/>
      <c r="E9" s="473"/>
      <c r="F9" s="473"/>
      <c r="G9" s="473"/>
      <c r="H9" s="472"/>
      <c r="I9" s="473"/>
      <c r="J9" s="473"/>
      <c r="K9" s="473"/>
      <c r="L9" s="473"/>
      <c r="M9" s="472"/>
      <c r="N9" s="472"/>
      <c r="O9" s="472"/>
      <c r="P9" s="473"/>
      <c r="Q9" s="473"/>
      <c r="R9" s="473"/>
      <c r="S9" s="474"/>
      <c r="T9" s="472"/>
      <c r="U9" s="472"/>
      <c r="V9" s="472"/>
      <c r="W9" s="472"/>
      <c r="X9" s="472"/>
      <c r="Y9" s="472"/>
      <c r="Z9" s="472"/>
      <c r="AA9" s="472"/>
      <c r="AB9" s="472"/>
      <c r="AC9" s="472"/>
      <c r="AD9" s="472"/>
      <c r="AE9" s="472"/>
      <c r="AF9" s="472"/>
      <c r="AG9" s="472"/>
      <c r="AH9" s="472"/>
      <c r="AI9" s="472"/>
      <c r="AJ9" s="472"/>
      <c r="AK9" s="472"/>
      <c r="AL9" s="472"/>
      <c r="AM9" s="472"/>
      <c r="AN9" s="180">
        <f t="shared" si="33"/>
        <v>0</v>
      </c>
      <c r="AO9" s="76" t="str">
        <f t="shared" si="34"/>
        <v>Balanced</v>
      </c>
      <c r="AP9" s="180">
        <f>B9-AN9</f>
        <v>0</v>
      </c>
    </row>
    <row r="10" spans="1:43">
      <c r="A10" s="446" t="s">
        <v>151</v>
      </c>
      <c r="B10" s="348"/>
      <c r="C10" s="447"/>
      <c r="D10" s="448">
        <f>C31*$B$10/12</f>
        <v>0</v>
      </c>
      <c r="E10" s="448">
        <f t="shared" ref="E10:T10" si="35">D31*$B$10/12</f>
        <v>0</v>
      </c>
      <c r="F10" s="448">
        <f t="shared" si="35"/>
        <v>0</v>
      </c>
      <c r="G10" s="448">
        <f t="shared" si="35"/>
        <v>0</v>
      </c>
      <c r="H10" s="448">
        <f t="shared" si="35"/>
        <v>0</v>
      </c>
      <c r="I10" s="448">
        <f t="shared" si="35"/>
        <v>0</v>
      </c>
      <c r="J10" s="448">
        <f t="shared" si="35"/>
        <v>0</v>
      </c>
      <c r="K10" s="448">
        <f t="shared" si="35"/>
        <v>0</v>
      </c>
      <c r="L10" s="448">
        <f t="shared" si="35"/>
        <v>0</v>
      </c>
      <c r="M10" s="448">
        <f t="shared" si="35"/>
        <v>0</v>
      </c>
      <c r="N10" s="448">
        <f t="shared" si="35"/>
        <v>0</v>
      </c>
      <c r="O10" s="448">
        <f t="shared" si="35"/>
        <v>0</v>
      </c>
      <c r="P10" s="448">
        <f t="shared" si="35"/>
        <v>0</v>
      </c>
      <c r="Q10" s="448">
        <f t="shared" si="35"/>
        <v>0</v>
      </c>
      <c r="R10" s="448">
        <f t="shared" si="35"/>
        <v>0</v>
      </c>
      <c r="S10" s="448">
        <f t="shared" si="35"/>
        <v>0</v>
      </c>
      <c r="T10" s="448">
        <f t="shared" si="35"/>
        <v>0</v>
      </c>
      <c r="U10" s="448">
        <f t="shared" ref="U10" si="36">T31*$B$10/12</f>
        <v>0</v>
      </c>
      <c r="V10" s="448">
        <f t="shared" ref="V10" si="37">U31*$B$10/12</f>
        <v>0</v>
      </c>
      <c r="W10" s="448">
        <f t="shared" ref="W10" si="38">V31*$B$10/12</f>
        <v>0</v>
      </c>
      <c r="X10" s="448">
        <f t="shared" ref="X10" si="39">W31*$B$10/12</f>
        <v>0</v>
      </c>
      <c r="Y10" s="448">
        <f t="shared" ref="Y10" si="40">X31*$B$10/12</f>
        <v>0</v>
      </c>
      <c r="Z10" s="448">
        <f t="shared" ref="Z10" si="41">Y31*$B$10/12</f>
        <v>0</v>
      </c>
      <c r="AA10" s="448">
        <f t="shared" ref="AA10" si="42">Z31*$B$10/12</f>
        <v>0</v>
      </c>
      <c r="AB10" s="448">
        <f t="shared" ref="AB10" si="43">V31*$B$10/12</f>
        <v>0</v>
      </c>
      <c r="AC10" s="448">
        <f t="shared" ref="AC10" si="44">AB31*$B$10/12</f>
        <v>0</v>
      </c>
      <c r="AD10" s="448">
        <f t="shared" ref="AD10" si="45">AC31*$B$10/12</f>
        <v>0</v>
      </c>
      <c r="AE10" s="448">
        <f t="shared" ref="AE10" si="46">AD31*$B$10/12</f>
        <v>0</v>
      </c>
      <c r="AF10" s="448">
        <f t="shared" ref="AF10" si="47">AD31*$B$10/12</f>
        <v>0</v>
      </c>
      <c r="AG10" s="448">
        <f t="shared" ref="AG10" si="48">AA31*$B$10/12</f>
        <v>0</v>
      </c>
      <c r="AH10" s="448">
        <f t="shared" ref="AH10" si="49">AG31*$B$10/12</f>
        <v>0</v>
      </c>
      <c r="AI10" s="448">
        <f t="shared" ref="AI10" si="50">AH31*$B$10/12</f>
        <v>0</v>
      </c>
      <c r="AJ10" s="448">
        <f t="shared" ref="AJ10" si="51">AI31*$B$10/12</f>
        <v>0</v>
      </c>
      <c r="AK10" s="448">
        <f t="shared" ref="AK10" si="52">AI31*$B$10/12</f>
        <v>0</v>
      </c>
      <c r="AL10" s="448">
        <f>AI31*$B$10/12</f>
        <v>0</v>
      </c>
      <c r="AM10" s="448">
        <f>AJ31*$B$10/12</f>
        <v>0</v>
      </c>
      <c r="AN10" s="180">
        <f t="shared" si="33"/>
        <v>0</v>
      </c>
      <c r="AP10" s="180"/>
    </row>
    <row r="11" spans="1:43">
      <c r="A11" s="446" t="s">
        <v>242</v>
      </c>
      <c r="B11" s="307">
        <f>'5)Dev Budget'!G117</f>
        <v>0</v>
      </c>
      <c r="C11" s="473"/>
      <c r="D11" s="474"/>
      <c r="E11" s="472"/>
      <c r="F11" s="472"/>
      <c r="G11" s="472"/>
      <c r="H11" s="472"/>
      <c r="I11" s="474"/>
      <c r="J11" s="472"/>
      <c r="K11" s="474"/>
      <c r="L11" s="472"/>
      <c r="M11" s="472"/>
      <c r="N11" s="472"/>
      <c r="O11" s="472"/>
      <c r="P11" s="472"/>
      <c r="Q11" s="474"/>
      <c r="R11" s="472"/>
      <c r="S11" s="474"/>
      <c r="T11" s="472"/>
      <c r="U11" s="472"/>
      <c r="V11" s="472"/>
      <c r="W11" s="472"/>
      <c r="X11" s="472"/>
      <c r="Y11" s="472"/>
      <c r="Z11" s="472"/>
      <c r="AA11" s="472"/>
      <c r="AB11" s="472"/>
      <c r="AC11" s="472"/>
      <c r="AD11" s="472"/>
      <c r="AE11" s="472"/>
      <c r="AF11" s="472"/>
      <c r="AG11" s="472"/>
      <c r="AH11" s="472"/>
      <c r="AI11" s="472"/>
      <c r="AJ11" s="472"/>
      <c r="AK11" s="472"/>
      <c r="AL11" s="472"/>
      <c r="AM11" s="472"/>
      <c r="AN11" s="180">
        <f t="shared" si="33"/>
        <v>0</v>
      </c>
      <c r="AO11" s="76" t="str">
        <f t="shared" si="34"/>
        <v>Balanced</v>
      </c>
      <c r="AP11" s="180">
        <f>B11-AN11</f>
        <v>0</v>
      </c>
    </row>
    <row r="12" spans="1:43">
      <c r="A12" s="449" t="s">
        <v>40</v>
      </c>
      <c r="B12" s="310">
        <f>'5)Dev Budget'!G123</f>
        <v>0</v>
      </c>
      <c r="C12" s="476"/>
      <c r="D12" s="477"/>
      <c r="E12" s="478"/>
      <c r="F12" s="478"/>
      <c r="G12" s="478"/>
      <c r="H12" s="478"/>
      <c r="I12" s="477"/>
      <c r="J12" s="478"/>
      <c r="K12" s="477"/>
      <c r="L12" s="478"/>
      <c r="M12" s="478"/>
      <c r="N12" s="478"/>
      <c r="O12" s="478"/>
      <c r="P12" s="478"/>
      <c r="Q12" s="477"/>
      <c r="R12" s="478"/>
      <c r="S12" s="477"/>
      <c r="T12" s="478"/>
      <c r="U12" s="478"/>
      <c r="V12" s="478"/>
      <c r="W12" s="478"/>
      <c r="X12" s="478"/>
      <c r="Y12" s="478"/>
      <c r="Z12" s="478"/>
      <c r="AA12" s="478"/>
      <c r="AB12" s="478"/>
      <c r="AC12" s="478"/>
      <c r="AD12" s="478"/>
      <c r="AE12" s="478"/>
      <c r="AF12" s="478"/>
      <c r="AG12" s="478"/>
      <c r="AH12" s="478"/>
      <c r="AI12" s="478"/>
      <c r="AJ12" s="478"/>
      <c r="AK12" s="478"/>
      <c r="AL12" s="478"/>
      <c r="AM12" s="478"/>
      <c r="AN12" s="485">
        <f t="shared" si="33"/>
        <v>0</v>
      </c>
      <c r="AO12" s="91" t="str">
        <f t="shared" si="34"/>
        <v>Balanced</v>
      </c>
      <c r="AP12" s="280">
        <f>B12-AN12</f>
        <v>0</v>
      </c>
    </row>
    <row r="13" spans="1:43">
      <c r="A13" s="450" t="s">
        <v>56</v>
      </c>
      <c r="B13" s="307"/>
      <c r="C13" s="307">
        <f t="shared" ref="C13:AN13" si="53">SUM(C5:C12)</f>
        <v>0</v>
      </c>
      <c r="D13" s="180">
        <f t="shared" si="53"/>
        <v>0</v>
      </c>
      <c r="E13" s="451">
        <f t="shared" si="53"/>
        <v>0</v>
      </c>
      <c r="F13" s="451">
        <f t="shared" si="53"/>
        <v>0</v>
      </c>
      <c r="G13" s="451">
        <f t="shared" si="53"/>
        <v>0</v>
      </c>
      <c r="H13" s="451">
        <f t="shared" si="53"/>
        <v>0</v>
      </c>
      <c r="I13" s="180">
        <f t="shared" si="53"/>
        <v>0</v>
      </c>
      <c r="J13" s="451">
        <f t="shared" si="53"/>
        <v>0</v>
      </c>
      <c r="K13" s="180">
        <f t="shared" si="53"/>
        <v>0</v>
      </c>
      <c r="L13" s="451">
        <f t="shared" si="53"/>
        <v>0</v>
      </c>
      <c r="M13" s="451">
        <f t="shared" si="53"/>
        <v>0</v>
      </c>
      <c r="N13" s="452">
        <f t="shared" si="53"/>
        <v>0</v>
      </c>
      <c r="O13" s="452">
        <f t="shared" si="53"/>
        <v>0</v>
      </c>
      <c r="P13" s="451">
        <f t="shared" si="53"/>
        <v>0</v>
      </c>
      <c r="Q13" s="180">
        <f t="shared" si="53"/>
        <v>0</v>
      </c>
      <c r="R13" s="451">
        <f t="shared" si="53"/>
        <v>0</v>
      </c>
      <c r="S13" s="180">
        <f t="shared" si="53"/>
        <v>0</v>
      </c>
      <c r="T13" s="451">
        <f t="shared" si="53"/>
        <v>0</v>
      </c>
      <c r="U13" s="451">
        <f t="shared" ref="U13:W13" si="54">SUM(U5:U12)</f>
        <v>0</v>
      </c>
      <c r="V13" s="451">
        <f t="shared" si="54"/>
        <v>0</v>
      </c>
      <c r="W13" s="451">
        <f t="shared" si="54"/>
        <v>0</v>
      </c>
      <c r="X13" s="451">
        <f t="shared" ref="X13:AM13" si="55">SUM(X5:X12)</f>
        <v>0</v>
      </c>
      <c r="Y13" s="451">
        <f t="shared" si="55"/>
        <v>0</v>
      </c>
      <c r="Z13" s="451">
        <f t="shared" si="55"/>
        <v>0</v>
      </c>
      <c r="AA13" s="451">
        <f t="shared" si="55"/>
        <v>0</v>
      </c>
      <c r="AB13" s="451">
        <f t="shared" ref="AB13:AF13" si="56">SUM(AB5:AB12)</f>
        <v>0</v>
      </c>
      <c r="AC13" s="451">
        <f t="shared" si="56"/>
        <v>0</v>
      </c>
      <c r="AD13" s="451">
        <f t="shared" si="56"/>
        <v>0</v>
      </c>
      <c r="AE13" s="451">
        <f t="shared" si="56"/>
        <v>0</v>
      </c>
      <c r="AF13" s="451">
        <f t="shared" si="56"/>
        <v>0</v>
      </c>
      <c r="AG13" s="451">
        <f t="shared" si="55"/>
        <v>0</v>
      </c>
      <c r="AH13" s="451">
        <f t="shared" si="55"/>
        <v>0</v>
      </c>
      <c r="AI13" s="451">
        <f t="shared" si="55"/>
        <v>0</v>
      </c>
      <c r="AJ13" s="451">
        <f t="shared" si="55"/>
        <v>0</v>
      </c>
      <c r="AK13" s="451">
        <f t="shared" ref="AK13:AL13" si="57">SUM(AK5:AK12)</f>
        <v>0</v>
      </c>
      <c r="AL13" s="451">
        <f t="shared" si="57"/>
        <v>0</v>
      </c>
      <c r="AM13" s="451">
        <f t="shared" si="55"/>
        <v>0</v>
      </c>
      <c r="AN13" s="180">
        <f t="shared" si="53"/>
        <v>0</v>
      </c>
      <c r="AO13" s="76" t="s">
        <v>155</v>
      </c>
      <c r="AP13" s="180"/>
    </row>
    <row r="14" spans="1:43">
      <c r="A14" s="453"/>
      <c r="B14" s="307"/>
      <c r="C14" s="307"/>
      <c r="D14" s="180"/>
      <c r="E14" s="451"/>
      <c r="F14" s="451"/>
      <c r="G14" s="451"/>
      <c r="H14" s="451"/>
      <c r="I14" s="180"/>
      <c r="J14" s="451"/>
      <c r="K14" s="180"/>
      <c r="L14" s="451"/>
      <c r="M14" s="451"/>
      <c r="N14" s="451"/>
      <c r="O14" s="451"/>
      <c r="P14" s="451"/>
      <c r="Q14" s="180"/>
      <c r="R14" s="451"/>
      <c r="S14" s="180"/>
      <c r="T14" s="451"/>
      <c r="U14" s="451"/>
      <c r="V14" s="451"/>
      <c r="W14" s="451"/>
      <c r="X14" s="451"/>
      <c r="Y14" s="451"/>
      <c r="Z14" s="451"/>
      <c r="AA14" s="451"/>
      <c r="AB14" s="451"/>
      <c r="AC14" s="451"/>
      <c r="AD14" s="451"/>
      <c r="AE14" s="451"/>
      <c r="AF14" s="451"/>
      <c r="AG14" s="451"/>
      <c r="AH14" s="451"/>
      <c r="AI14" s="451"/>
      <c r="AJ14" s="451"/>
      <c r="AK14" s="451"/>
      <c r="AL14" s="451"/>
      <c r="AM14" s="451"/>
    </row>
    <row r="15" spans="1:43" ht="13.7">
      <c r="A15" s="441" t="s">
        <v>57</v>
      </c>
      <c r="B15" s="310"/>
      <c r="C15" s="310"/>
      <c r="D15" s="280"/>
      <c r="E15" s="454"/>
      <c r="F15" s="454"/>
      <c r="G15" s="454"/>
      <c r="H15" s="454"/>
      <c r="I15" s="280"/>
      <c r="J15" s="454"/>
      <c r="K15" s="280"/>
      <c r="L15" s="454"/>
      <c r="M15" s="454"/>
      <c r="N15" s="454"/>
      <c r="O15" s="454"/>
      <c r="P15" s="454"/>
      <c r="Q15" s="280"/>
      <c r="R15" s="454"/>
      <c r="S15" s="280"/>
      <c r="T15" s="454"/>
      <c r="U15" s="454"/>
      <c r="V15" s="454"/>
      <c r="W15" s="454"/>
      <c r="X15" s="454"/>
      <c r="Y15" s="454"/>
      <c r="Z15" s="454"/>
      <c r="AA15" s="454"/>
      <c r="AB15" s="454"/>
      <c r="AC15" s="454"/>
      <c r="AD15" s="454"/>
      <c r="AE15" s="454"/>
      <c r="AF15" s="454"/>
      <c r="AG15" s="454"/>
      <c r="AH15" s="454"/>
      <c r="AI15" s="454"/>
      <c r="AJ15" s="454"/>
      <c r="AK15" s="454"/>
      <c r="AL15" s="454"/>
      <c r="AM15" s="454"/>
    </row>
    <row r="16" spans="1:43">
      <c r="A16" s="455" t="s">
        <v>65</v>
      </c>
      <c r="B16" s="307"/>
      <c r="C16" s="456">
        <v>0</v>
      </c>
      <c r="D16" s="457">
        <f>C33</f>
        <v>0</v>
      </c>
      <c r="E16" s="457">
        <f t="shared" ref="E16:AM16" si="58">D33</f>
        <v>0</v>
      </c>
      <c r="F16" s="457">
        <f t="shared" si="58"/>
        <v>0</v>
      </c>
      <c r="G16" s="457">
        <f t="shared" si="58"/>
        <v>0</v>
      </c>
      <c r="H16" s="457">
        <f t="shared" si="58"/>
        <v>0</v>
      </c>
      <c r="I16" s="457">
        <f t="shared" si="58"/>
        <v>0</v>
      </c>
      <c r="J16" s="457">
        <f t="shared" si="58"/>
        <v>0</v>
      </c>
      <c r="K16" s="457">
        <f t="shared" si="58"/>
        <v>0</v>
      </c>
      <c r="L16" s="457">
        <f t="shared" si="58"/>
        <v>0</v>
      </c>
      <c r="M16" s="457">
        <f t="shared" si="58"/>
        <v>0</v>
      </c>
      <c r="N16" s="457">
        <f t="shared" si="58"/>
        <v>0</v>
      </c>
      <c r="O16" s="457">
        <f t="shared" si="58"/>
        <v>0</v>
      </c>
      <c r="P16" s="457">
        <f t="shared" si="58"/>
        <v>0</v>
      </c>
      <c r="Q16" s="457">
        <f t="shared" si="58"/>
        <v>0</v>
      </c>
      <c r="R16" s="457">
        <f t="shared" si="58"/>
        <v>0</v>
      </c>
      <c r="S16" s="457">
        <f t="shared" si="58"/>
        <v>0</v>
      </c>
      <c r="T16" s="457">
        <f t="shared" si="58"/>
        <v>0</v>
      </c>
      <c r="U16" s="457">
        <f t="shared" si="58"/>
        <v>0</v>
      </c>
      <c r="V16" s="457">
        <f t="shared" si="58"/>
        <v>0</v>
      </c>
      <c r="W16" s="457">
        <f t="shared" si="58"/>
        <v>0</v>
      </c>
      <c r="X16" s="457">
        <f t="shared" si="58"/>
        <v>0</v>
      </c>
      <c r="Y16" s="457">
        <f t="shared" si="58"/>
        <v>0</v>
      </c>
      <c r="Z16" s="457">
        <f t="shared" si="58"/>
        <v>0</v>
      </c>
      <c r="AA16" s="457">
        <f t="shared" si="58"/>
        <v>0</v>
      </c>
      <c r="AB16" s="457">
        <f t="shared" si="58"/>
        <v>0</v>
      </c>
      <c r="AC16" s="457">
        <f t="shared" si="58"/>
        <v>0</v>
      </c>
      <c r="AD16" s="457">
        <f t="shared" si="58"/>
        <v>0</v>
      </c>
      <c r="AE16" s="457">
        <f t="shared" si="58"/>
        <v>0</v>
      </c>
      <c r="AF16" s="457">
        <f t="shared" si="58"/>
        <v>0</v>
      </c>
      <c r="AG16" s="457">
        <f t="shared" si="58"/>
        <v>0</v>
      </c>
      <c r="AH16" s="457">
        <f t="shared" si="58"/>
        <v>0</v>
      </c>
      <c r="AI16" s="457">
        <f t="shared" si="58"/>
        <v>0</v>
      </c>
      <c r="AJ16" s="457">
        <f t="shared" si="58"/>
        <v>0</v>
      </c>
      <c r="AK16" s="457">
        <f t="shared" si="58"/>
        <v>0</v>
      </c>
      <c r="AL16" s="457">
        <f t="shared" si="58"/>
        <v>0</v>
      </c>
      <c r="AM16" s="457">
        <f t="shared" si="58"/>
        <v>0</v>
      </c>
      <c r="AN16" s="139"/>
      <c r="AO16" s="140"/>
      <c r="AP16" s="140"/>
    </row>
    <row r="17" spans="1:42">
      <c r="A17" s="458" t="str">
        <f>'1)Summary &amp; Gap'!B45</f>
        <v>Permanent Mortgage</v>
      </c>
      <c r="B17" s="307">
        <f>'1)Summary &amp; Gap'!E45</f>
        <v>0</v>
      </c>
      <c r="C17" s="479"/>
      <c r="D17" s="480"/>
      <c r="E17" s="481"/>
      <c r="F17" s="481"/>
      <c r="G17" s="481"/>
      <c r="H17" s="481"/>
      <c r="I17" s="480"/>
      <c r="J17" s="481"/>
      <c r="K17" s="480"/>
      <c r="L17" s="481"/>
      <c r="M17" s="481"/>
      <c r="N17" s="481"/>
      <c r="O17" s="481"/>
      <c r="P17" s="481"/>
      <c r="Q17" s="480"/>
      <c r="R17" s="481"/>
      <c r="S17" s="480"/>
      <c r="T17" s="481"/>
      <c r="U17" s="481"/>
      <c r="V17" s="481"/>
      <c r="W17" s="481"/>
      <c r="X17" s="481"/>
      <c r="Y17" s="481"/>
      <c r="Z17" s="481"/>
      <c r="AA17" s="481"/>
      <c r="AB17" s="481"/>
      <c r="AC17" s="481"/>
      <c r="AD17" s="481"/>
      <c r="AE17" s="481"/>
      <c r="AF17" s="481"/>
      <c r="AG17" s="481"/>
      <c r="AH17" s="481"/>
      <c r="AI17" s="481"/>
      <c r="AJ17" s="481"/>
      <c r="AK17" s="481"/>
      <c r="AL17" s="481"/>
      <c r="AM17" s="481"/>
      <c r="AN17" s="486">
        <f t="shared" ref="AN17:AN24" si="59">SUM(C17:AM17)</f>
        <v>0</v>
      </c>
      <c r="AO17" s="76" t="str">
        <f t="shared" ref="AO17:AO25" si="60">IF(ABS(AN17-B17)&lt;1,"Balanced",IF(AN17&gt;B17,"Over","Under"))</f>
        <v>Balanced</v>
      </c>
      <c r="AP17" s="311">
        <f t="shared" ref="AP17:AP25" si="61">B17-AN17</f>
        <v>0</v>
      </c>
    </row>
    <row r="18" spans="1:42">
      <c r="A18" s="458" t="str">
        <f>'1)Summary &amp; Gap'!B46</f>
        <v>LIHTC Equity</v>
      </c>
      <c r="B18" s="307">
        <f>'1)Summary &amp; Gap'!E46</f>
        <v>0</v>
      </c>
      <c r="C18" s="479"/>
      <c r="D18" s="480"/>
      <c r="E18" s="481"/>
      <c r="F18" s="481"/>
      <c r="G18" s="481"/>
      <c r="H18" s="481"/>
      <c r="I18" s="481"/>
      <c r="J18" s="481"/>
      <c r="K18" s="481"/>
      <c r="L18" s="481"/>
      <c r="M18" s="481"/>
      <c r="N18" s="481"/>
      <c r="O18" s="481"/>
      <c r="P18" s="481"/>
      <c r="Q18" s="480"/>
      <c r="R18" s="481"/>
      <c r="S18" s="480"/>
      <c r="T18" s="481"/>
      <c r="U18" s="481"/>
      <c r="V18" s="481"/>
      <c r="W18" s="481"/>
      <c r="X18" s="481"/>
      <c r="Y18" s="481"/>
      <c r="Z18" s="481"/>
      <c r="AA18" s="481"/>
      <c r="AB18" s="481"/>
      <c r="AC18" s="481"/>
      <c r="AD18" s="481"/>
      <c r="AE18" s="481"/>
      <c r="AF18" s="481"/>
      <c r="AG18" s="481"/>
      <c r="AH18" s="481"/>
      <c r="AI18" s="481"/>
      <c r="AJ18" s="481"/>
      <c r="AK18" s="481"/>
      <c r="AL18" s="481"/>
      <c r="AM18" s="481"/>
      <c r="AN18" s="486">
        <f t="shared" si="59"/>
        <v>0</v>
      </c>
      <c r="AO18" s="76" t="str">
        <f t="shared" si="60"/>
        <v>Balanced</v>
      </c>
      <c r="AP18" s="311">
        <f t="shared" si="61"/>
        <v>0</v>
      </c>
    </row>
    <row r="19" spans="1:42">
      <c r="A19" s="458" t="str">
        <f>'1)Summary &amp; Gap'!B47</f>
        <v>City of San Antonio (Source)</v>
      </c>
      <c r="B19" s="307">
        <f>'1)Summary &amp; Gap'!E47</f>
        <v>0</v>
      </c>
      <c r="C19" s="480"/>
      <c r="D19" s="481"/>
      <c r="E19" s="481"/>
      <c r="F19" s="481"/>
      <c r="G19" s="481"/>
      <c r="H19" s="481"/>
      <c r="I19" s="481"/>
      <c r="J19" s="481"/>
      <c r="K19" s="481"/>
      <c r="L19" s="481"/>
      <c r="M19" s="481"/>
      <c r="N19" s="481"/>
      <c r="O19" s="481"/>
      <c r="P19" s="481"/>
      <c r="Q19" s="481"/>
      <c r="R19" s="481"/>
      <c r="S19" s="480"/>
      <c r="T19" s="481"/>
      <c r="U19" s="481"/>
      <c r="V19" s="481"/>
      <c r="W19" s="481"/>
      <c r="X19" s="481"/>
      <c r="Y19" s="481"/>
      <c r="Z19" s="481"/>
      <c r="AA19" s="481"/>
      <c r="AB19" s="481"/>
      <c r="AC19" s="481"/>
      <c r="AD19" s="481"/>
      <c r="AE19" s="481"/>
      <c r="AF19" s="481"/>
      <c r="AG19" s="481"/>
      <c r="AH19" s="481"/>
      <c r="AI19" s="481"/>
      <c r="AJ19" s="481"/>
      <c r="AK19" s="481"/>
      <c r="AL19" s="481"/>
      <c r="AM19" s="481"/>
      <c r="AN19" s="486">
        <f t="shared" si="59"/>
        <v>0</v>
      </c>
      <c r="AO19" s="144" t="str">
        <f t="shared" si="60"/>
        <v>Balanced</v>
      </c>
      <c r="AP19" s="311">
        <f t="shared" si="61"/>
        <v>0</v>
      </c>
    </row>
    <row r="20" spans="1:42">
      <c r="A20" s="458">
        <f>'1)Summary &amp; Gap'!B48</f>
        <v>0</v>
      </c>
      <c r="B20" s="307">
        <f>'1)Summary &amp; Gap'!E48</f>
        <v>0</v>
      </c>
      <c r="C20" s="479"/>
      <c r="D20" s="480"/>
      <c r="E20" s="481"/>
      <c r="F20" s="481"/>
      <c r="G20" s="481"/>
      <c r="H20" s="481"/>
      <c r="I20" s="481"/>
      <c r="J20" s="481"/>
      <c r="K20" s="481"/>
      <c r="L20" s="481"/>
      <c r="M20" s="481"/>
      <c r="N20" s="481"/>
      <c r="O20" s="481"/>
      <c r="P20" s="481"/>
      <c r="Q20" s="480"/>
      <c r="R20" s="481"/>
      <c r="S20" s="480"/>
      <c r="T20" s="481"/>
      <c r="U20" s="481"/>
      <c r="V20" s="481"/>
      <c r="W20" s="481"/>
      <c r="X20" s="481"/>
      <c r="Y20" s="481"/>
      <c r="Z20" s="481"/>
      <c r="AA20" s="481"/>
      <c r="AB20" s="481"/>
      <c r="AC20" s="481"/>
      <c r="AD20" s="481"/>
      <c r="AE20" s="481"/>
      <c r="AF20" s="481"/>
      <c r="AG20" s="481"/>
      <c r="AH20" s="481"/>
      <c r="AI20" s="481"/>
      <c r="AJ20" s="481"/>
      <c r="AK20" s="481"/>
      <c r="AL20" s="481"/>
      <c r="AM20" s="481"/>
      <c r="AN20" s="486">
        <f t="shared" si="59"/>
        <v>0</v>
      </c>
      <c r="AO20" s="144" t="str">
        <f t="shared" si="60"/>
        <v>Balanced</v>
      </c>
      <c r="AP20" s="311">
        <f t="shared" si="61"/>
        <v>0</v>
      </c>
    </row>
    <row r="21" spans="1:42">
      <c r="A21" s="458">
        <f>'1)Summary &amp; Gap'!B49</f>
        <v>0</v>
      </c>
      <c r="B21" s="307">
        <f>'1)Summary &amp; Gap'!E49</f>
        <v>0</v>
      </c>
      <c r="C21" s="479"/>
      <c r="D21" s="480"/>
      <c r="E21" s="481"/>
      <c r="F21" s="481"/>
      <c r="G21" s="481"/>
      <c r="H21" s="481"/>
      <c r="I21" s="481"/>
      <c r="J21" s="481"/>
      <c r="K21" s="481"/>
      <c r="L21" s="481"/>
      <c r="M21" s="481"/>
      <c r="N21" s="481"/>
      <c r="O21" s="481"/>
      <c r="P21" s="481"/>
      <c r="Q21" s="480"/>
      <c r="R21" s="481"/>
      <c r="S21" s="480"/>
      <c r="T21" s="481"/>
      <c r="U21" s="481"/>
      <c r="V21" s="481"/>
      <c r="W21" s="481"/>
      <c r="X21" s="481"/>
      <c r="Y21" s="481"/>
      <c r="Z21" s="481"/>
      <c r="AA21" s="481"/>
      <c r="AB21" s="481"/>
      <c r="AC21" s="481"/>
      <c r="AD21" s="481"/>
      <c r="AE21" s="481"/>
      <c r="AF21" s="481"/>
      <c r="AG21" s="481"/>
      <c r="AH21" s="481"/>
      <c r="AI21" s="481"/>
      <c r="AJ21" s="481"/>
      <c r="AK21" s="481"/>
      <c r="AL21" s="481"/>
      <c r="AM21" s="481"/>
      <c r="AN21" s="486">
        <f t="shared" si="59"/>
        <v>0</v>
      </c>
      <c r="AO21" s="144" t="str">
        <f t="shared" si="60"/>
        <v>Balanced</v>
      </c>
      <c r="AP21" s="311">
        <f t="shared" si="61"/>
        <v>0</v>
      </c>
    </row>
    <row r="22" spans="1:42">
      <c r="A22" s="458">
        <f>'1)Summary &amp; Gap'!B50</f>
        <v>0</v>
      </c>
      <c r="B22" s="307">
        <f>'1)Summary &amp; Gap'!E50</f>
        <v>0</v>
      </c>
      <c r="C22" s="479"/>
      <c r="D22" s="479"/>
      <c r="E22" s="479"/>
      <c r="F22" s="479"/>
      <c r="G22" s="479"/>
      <c r="H22" s="479"/>
      <c r="I22" s="479"/>
      <c r="J22" s="479"/>
      <c r="K22" s="479"/>
      <c r="L22" s="479"/>
      <c r="M22" s="481"/>
      <c r="N22" s="481"/>
      <c r="O22" s="481"/>
      <c r="P22" s="481"/>
      <c r="Q22" s="480"/>
      <c r="R22" s="481"/>
      <c r="S22" s="480"/>
      <c r="T22" s="481"/>
      <c r="U22" s="481"/>
      <c r="V22" s="481"/>
      <c r="W22" s="481"/>
      <c r="X22" s="481"/>
      <c r="Y22" s="481"/>
      <c r="Z22" s="481"/>
      <c r="AA22" s="481"/>
      <c r="AB22" s="481"/>
      <c r="AC22" s="481"/>
      <c r="AD22" s="481"/>
      <c r="AE22" s="481"/>
      <c r="AF22" s="481"/>
      <c r="AG22" s="481"/>
      <c r="AH22" s="481"/>
      <c r="AI22" s="481"/>
      <c r="AJ22" s="481"/>
      <c r="AK22" s="481"/>
      <c r="AL22" s="481"/>
      <c r="AM22" s="481"/>
      <c r="AN22" s="486">
        <f t="shared" si="59"/>
        <v>0</v>
      </c>
      <c r="AO22" s="144" t="str">
        <f t="shared" si="60"/>
        <v>Balanced</v>
      </c>
      <c r="AP22" s="311">
        <f t="shared" si="61"/>
        <v>0</v>
      </c>
    </row>
    <row r="23" spans="1:42">
      <c r="A23" s="458" t="str">
        <f>'1)Summary &amp; Gap'!B51</f>
        <v>Net Operating Income Preconversion</v>
      </c>
      <c r="B23" s="307">
        <f>'1)Summary &amp; Gap'!E51</f>
        <v>0</v>
      </c>
      <c r="C23" s="479"/>
      <c r="D23" s="480"/>
      <c r="E23" s="481"/>
      <c r="F23" s="481"/>
      <c r="G23" s="481"/>
      <c r="H23" s="481"/>
      <c r="I23" s="480"/>
      <c r="J23" s="481"/>
      <c r="K23" s="480"/>
      <c r="L23" s="481"/>
      <c r="M23" s="481"/>
      <c r="N23" s="481"/>
      <c r="O23" s="481"/>
      <c r="P23" s="481"/>
      <c r="Q23" s="480"/>
      <c r="R23" s="481"/>
      <c r="S23" s="480"/>
      <c r="T23" s="481"/>
      <c r="U23" s="481"/>
      <c r="V23" s="481"/>
      <c r="W23" s="481"/>
      <c r="X23" s="481"/>
      <c r="Y23" s="481"/>
      <c r="Z23" s="481"/>
      <c r="AA23" s="481"/>
      <c r="AB23" s="481"/>
      <c r="AC23" s="481"/>
      <c r="AD23" s="481"/>
      <c r="AE23" s="481"/>
      <c r="AF23" s="481"/>
      <c r="AG23" s="481"/>
      <c r="AH23" s="481"/>
      <c r="AI23" s="481"/>
      <c r="AJ23" s="481"/>
      <c r="AK23" s="481"/>
      <c r="AL23" s="481"/>
      <c r="AM23" s="481"/>
      <c r="AN23" s="486">
        <f t="shared" si="59"/>
        <v>0</v>
      </c>
      <c r="AO23" s="144" t="str">
        <f t="shared" si="60"/>
        <v>Balanced</v>
      </c>
      <c r="AP23" s="311">
        <f t="shared" si="61"/>
        <v>0</v>
      </c>
    </row>
    <row r="24" spans="1:42">
      <c r="A24" s="459" t="str">
        <f>'1)Summary &amp; Gap'!B52</f>
        <v>Deferred Developer Fee</v>
      </c>
      <c r="B24" s="310">
        <f>'1)Summary &amp; Gap'!E52</f>
        <v>0</v>
      </c>
      <c r="C24" s="482"/>
      <c r="D24" s="483"/>
      <c r="E24" s="101"/>
      <c r="F24" s="101"/>
      <c r="G24" s="101"/>
      <c r="H24" s="101"/>
      <c r="I24" s="483"/>
      <c r="J24" s="101"/>
      <c r="K24" s="483"/>
      <c r="L24" s="101"/>
      <c r="M24" s="101"/>
      <c r="N24" s="101"/>
      <c r="O24" s="101"/>
      <c r="P24" s="101"/>
      <c r="Q24" s="483"/>
      <c r="R24" s="101"/>
      <c r="S24" s="483"/>
      <c r="T24" s="101"/>
      <c r="U24" s="101"/>
      <c r="V24" s="101"/>
      <c r="W24" s="101"/>
      <c r="X24" s="101"/>
      <c r="Y24" s="101"/>
      <c r="Z24" s="101"/>
      <c r="AA24" s="101"/>
      <c r="AB24" s="101"/>
      <c r="AC24" s="101"/>
      <c r="AD24" s="101"/>
      <c r="AE24" s="101"/>
      <c r="AF24" s="101"/>
      <c r="AG24" s="101"/>
      <c r="AH24" s="101"/>
      <c r="AI24" s="101"/>
      <c r="AJ24" s="101"/>
      <c r="AK24" s="101"/>
      <c r="AL24" s="101"/>
      <c r="AM24" s="101"/>
      <c r="AN24" s="485">
        <f t="shared" si="59"/>
        <v>0</v>
      </c>
      <c r="AO24" s="91" t="str">
        <f t="shared" si="60"/>
        <v>Balanced</v>
      </c>
      <c r="AP24" s="280">
        <f t="shared" si="61"/>
        <v>0</v>
      </c>
    </row>
    <row r="25" spans="1:42" s="154" customFormat="1">
      <c r="A25" s="460" t="s">
        <v>58</v>
      </c>
      <c r="B25" s="461">
        <f>SUM(B17:B24)</f>
        <v>0</v>
      </c>
      <c r="C25" s="461">
        <f t="shared" ref="C25:T25" si="62">SUM(C16:C24)</f>
        <v>0</v>
      </c>
      <c r="D25" s="462">
        <f t="shared" si="62"/>
        <v>0</v>
      </c>
      <c r="E25" s="463">
        <f t="shared" si="62"/>
        <v>0</v>
      </c>
      <c r="F25" s="463">
        <f t="shared" si="62"/>
        <v>0</v>
      </c>
      <c r="G25" s="463">
        <f t="shared" si="62"/>
        <v>0</v>
      </c>
      <c r="H25" s="463">
        <f t="shared" si="62"/>
        <v>0</v>
      </c>
      <c r="I25" s="462">
        <f t="shared" si="62"/>
        <v>0</v>
      </c>
      <c r="J25" s="463">
        <f t="shared" si="62"/>
        <v>0</v>
      </c>
      <c r="K25" s="462">
        <f t="shared" si="62"/>
        <v>0</v>
      </c>
      <c r="L25" s="463">
        <f t="shared" si="62"/>
        <v>0</v>
      </c>
      <c r="M25" s="463">
        <f t="shared" si="62"/>
        <v>0</v>
      </c>
      <c r="N25" s="463">
        <f t="shared" si="62"/>
        <v>0</v>
      </c>
      <c r="O25" s="463">
        <f t="shared" si="62"/>
        <v>0</v>
      </c>
      <c r="P25" s="463">
        <f t="shared" si="62"/>
        <v>0</v>
      </c>
      <c r="Q25" s="462">
        <f t="shared" si="62"/>
        <v>0</v>
      </c>
      <c r="R25" s="463">
        <f t="shared" si="62"/>
        <v>0</v>
      </c>
      <c r="S25" s="462">
        <f t="shared" si="62"/>
        <v>0</v>
      </c>
      <c r="T25" s="463">
        <f t="shared" si="62"/>
        <v>0</v>
      </c>
      <c r="U25" s="463">
        <f t="shared" ref="U25:W25" si="63">SUM(U16:U24)</f>
        <v>0</v>
      </c>
      <c r="V25" s="463">
        <f t="shared" si="63"/>
        <v>0</v>
      </c>
      <c r="W25" s="463">
        <f t="shared" si="63"/>
        <v>0</v>
      </c>
      <c r="X25" s="463">
        <f t="shared" ref="X25:AM25" si="64">SUM(X16:X24)</f>
        <v>0</v>
      </c>
      <c r="Y25" s="463">
        <f t="shared" si="64"/>
        <v>0</v>
      </c>
      <c r="Z25" s="463">
        <f t="shared" si="64"/>
        <v>0</v>
      </c>
      <c r="AA25" s="463">
        <f t="shared" si="64"/>
        <v>0</v>
      </c>
      <c r="AB25" s="463">
        <f t="shared" ref="AB25:AF25" si="65">SUM(AB16:AB24)</f>
        <v>0</v>
      </c>
      <c r="AC25" s="463">
        <f t="shared" si="65"/>
        <v>0</v>
      </c>
      <c r="AD25" s="463">
        <f t="shared" si="65"/>
        <v>0</v>
      </c>
      <c r="AE25" s="463">
        <f t="shared" si="65"/>
        <v>0</v>
      </c>
      <c r="AF25" s="463">
        <f t="shared" si="65"/>
        <v>0</v>
      </c>
      <c r="AG25" s="463">
        <f t="shared" si="64"/>
        <v>0</v>
      </c>
      <c r="AH25" s="463">
        <f t="shared" si="64"/>
        <v>0</v>
      </c>
      <c r="AI25" s="463">
        <f t="shared" si="64"/>
        <v>0</v>
      </c>
      <c r="AJ25" s="463">
        <f t="shared" si="64"/>
        <v>0</v>
      </c>
      <c r="AK25" s="463">
        <f t="shared" ref="AK25:AL25" si="66">SUM(AK16:AK24)</f>
        <v>0</v>
      </c>
      <c r="AL25" s="463">
        <f t="shared" si="66"/>
        <v>0</v>
      </c>
      <c r="AM25" s="463">
        <f t="shared" si="64"/>
        <v>0</v>
      </c>
      <c r="AN25" s="180">
        <f>SUM(AN17:AN24)</f>
        <v>0</v>
      </c>
      <c r="AO25" s="175" t="str">
        <f t="shared" si="60"/>
        <v>Balanced</v>
      </c>
      <c r="AP25" s="180">
        <f t="shared" si="61"/>
        <v>0</v>
      </c>
    </row>
    <row r="26" spans="1:42" s="144" customFormat="1">
      <c r="A26" s="464"/>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row>
    <row r="27" spans="1:42" s="144" customFormat="1">
      <c r="A27" s="349" t="s">
        <v>59</v>
      </c>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row>
    <row r="28" spans="1:42">
      <c r="A28" s="465" t="s">
        <v>379</v>
      </c>
      <c r="B28" s="303"/>
      <c r="C28" s="303">
        <f>C25-C13</f>
        <v>0</v>
      </c>
      <c r="D28" s="303">
        <f>D25-D13</f>
        <v>0</v>
      </c>
      <c r="E28" s="303">
        <f>E25-E13</f>
        <v>0</v>
      </c>
      <c r="F28" s="303">
        <f t="shared" ref="F28:AM28" si="67">F25-F13</f>
        <v>0</v>
      </c>
      <c r="G28" s="303">
        <f t="shared" si="67"/>
        <v>0</v>
      </c>
      <c r="H28" s="303">
        <f t="shared" si="67"/>
        <v>0</v>
      </c>
      <c r="I28" s="303">
        <f t="shared" si="67"/>
        <v>0</v>
      </c>
      <c r="J28" s="303">
        <f t="shared" si="67"/>
        <v>0</v>
      </c>
      <c r="K28" s="303">
        <f t="shared" si="67"/>
        <v>0</v>
      </c>
      <c r="L28" s="303">
        <f t="shared" si="67"/>
        <v>0</v>
      </c>
      <c r="M28" s="303">
        <f t="shared" si="67"/>
        <v>0</v>
      </c>
      <c r="N28" s="303">
        <f t="shared" si="67"/>
        <v>0</v>
      </c>
      <c r="O28" s="303">
        <f t="shared" si="67"/>
        <v>0</v>
      </c>
      <c r="P28" s="303">
        <f t="shared" si="67"/>
        <v>0</v>
      </c>
      <c r="Q28" s="303">
        <f t="shared" si="67"/>
        <v>0</v>
      </c>
      <c r="R28" s="303">
        <f t="shared" si="67"/>
        <v>0</v>
      </c>
      <c r="S28" s="303">
        <f t="shared" si="67"/>
        <v>0</v>
      </c>
      <c r="T28" s="303">
        <f t="shared" si="67"/>
        <v>0</v>
      </c>
      <c r="U28" s="303">
        <f t="shared" si="67"/>
        <v>0</v>
      </c>
      <c r="V28" s="303">
        <f t="shared" si="67"/>
        <v>0</v>
      </c>
      <c r="W28" s="303">
        <f t="shared" si="67"/>
        <v>0</v>
      </c>
      <c r="X28" s="303">
        <f t="shared" si="67"/>
        <v>0</v>
      </c>
      <c r="Y28" s="303">
        <f t="shared" si="67"/>
        <v>0</v>
      </c>
      <c r="Z28" s="303">
        <f t="shared" si="67"/>
        <v>0</v>
      </c>
      <c r="AA28" s="303">
        <f t="shared" si="67"/>
        <v>0</v>
      </c>
      <c r="AB28" s="303">
        <f t="shared" si="67"/>
        <v>0</v>
      </c>
      <c r="AC28" s="303">
        <f t="shared" si="67"/>
        <v>0</v>
      </c>
      <c r="AD28" s="303">
        <f t="shared" si="67"/>
        <v>0</v>
      </c>
      <c r="AE28" s="303">
        <f t="shared" si="67"/>
        <v>0</v>
      </c>
      <c r="AF28" s="303">
        <f t="shared" si="67"/>
        <v>0</v>
      </c>
      <c r="AG28" s="303">
        <f t="shared" si="67"/>
        <v>0</v>
      </c>
      <c r="AH28" s="303">
        <f t="shared" si="67"/>
        <v>0</v>
      </c>
      <c r="AI28" s="303">
        <f t="shared" si="67"/>
        <v>0</v>
      </c>
      <c r="AJ28" s="303">
        <f t="shared" si="67"/>
        <v>0</v>
      </c>
      <c r="AK28" s="303">
        <f t="shared" si="67"/>
        <v>0</v>
      </c>
      <c r="AL28" s="303">
        <f t="shared" si="67"/>
        <v>0</v>
      </c>
      <c r="AM28" s="303">
        <f t="shared" si="67"/>
        <v>0</v>
      </c>
    </row>
    <row r="29" spans="1:42">
      <c r="A29" s="466" t="s">
        <v>66</v>
      </c>
      <c r="B29" s="307"/>
      <c r="C29" s="307">
        <f>IF(C28&lt;0,C28,0)</f>
        <v>0</v>
      </c>
      <c r="D29" s="307">
        <f>IF(D28&lt;0,D28,0)</f>
        <v>0</v>
      </c>
      <c r="E29" s="307">
        <f>IF(E28&lt;0,E28,0)</f>
        <v>0</v>
      </c>
      <c r="F29" s="307">
        <f t="shared" ref="F29:AM29" si="68">IF(F28&lt;0,F28,0)</f>
        <v>0</v>
      </c>
      <c r="G29" s="307">
        <f t="shared" si="68"/>
        <v>0</v>
      </c>
      <c r="H29" s="307">
        <f t="shared" si="68"/>
        <v>0</v>
      </c>
      <c r="I29" s="307">
        <f t="shared" si="68"/>
        <v>0</v>
      </c>
      <c r="J29" s="307">
        <f t="shared" si="68"/>
        <v>0</v>
      </c>
      <c r="K29" s="307">
        <f t="shared" si="68"/>
        <v>0</v>
      </c>
      <c r="L29" s="307">
        <f t="shared" si="68"/>
        <v>0</v>
      </c>
      <c r="M29" s="307">
        <f t="shared" si="68"/>
        <v>0</v>
      </c>
      <c r="N29" s="307">
        <f t="shared" si="68"/>
        <v>0</v>
      </c>
      <c r="O29" s="307">
        <f t="shared" si="68"/>
        <v>0</v>
      </c>
      <c r="P29" s="307">
        <f t="shared" si="68"/>
        <v>0</v>
      </c>
      <c r="Q29" s="307">
        <f t="shared" si="68"/>
        <v>0</v>
      </c>
      <c r="R29" s="307">
        <f t="shared" si="68"/>
        <v>0</v>
      </c>
      <c r="S29" s="307">
        <f t="shared" si="68"/>
        <v>0</v>
      </c>
      <c r="T29" s="307">
        <f t="shared" si="68"/>
        <v>0</v>
      </c>
      <c r="U29" s="307">
        <f t="shared" si="68"/>
        <v>0</v>
      </c>
      <c r="V29" s="307">
        <f t="shared" si="68"/>
        <v>0</v>
      </c>
      <c r="W29" s="307">
        <f t="shared" si="68"/>
        <v>0</v>
      </c>
      <c r="X29" s="307">
        <f t="shared" si="68"/>
        <v>0</v>
      </c>
      <c r="Y29" s="307">
        <f t="shared" si="68"/>
        <v>0</v>
      </c>
      <c r="Z29" s="307">
        <f t="shared" si="68"/>
        <v>0</v>
      </c>
      <c r="AA29" s="307">
        <f t="shared" si="68"/>
        <v>0</v>
      </c>
      <c r="AB29" s="307">
        <f t="shared" si="68"/>
        <v>0</v>
      </c>
      <c r="AC29" s="307">
        <f t="shared" si="68"/>
        <v>0</v>
      </c>
      <c r="AD29" s="307">
        <f t="shared" si="68"/>
        <v>0</v>
      </c>
      <c r="AE29" s="307">
        <f t="shared" si="68"/>
        <v>0</v>
      </c>
      <c r="AF29" s="307">
        <f t="shared" si="68"/>
        <v>0</v>
      </c>
      <c r="AG29" s="307">
        <f t="shared" si="68"/>
        <v>0</v>
      </c>
      <c r="AH29" s="307">
        <f t="shared" si="68"/>
        <v>0</v>
      </c>
      <c r="AI29" s="307">
        <f t="shared" si="68"/>
        <v>0</v>
      </c>
      <c r="AJ29" s="307">
        <f t="shared" si="68"/>
        <v>0</v>
      </c>
      <c r="AK29" s="307">
        <f t="shared" si="68"/>
        <v>0</v>
      </c>
      <c r="AL29" s="307">
        <f t="shared" si="68"/>
        <v>0</v>
      </c>
      <c r="AM29" s="307">
        <f t="shared" si="68"/>
        <v>0</v>
      </c>
    </row>
    <row r="30" spans="1:42">
      <c r="A30" s="466" t="s">
        <v>152</v>
      </c>
      <c r="B30" s="307"/>
      <c r="C30" s="307">
        <f>IF(C28&gt;0,C28,0)</f>
        <v>0</v>
      </c>
      <c r="D30" s="307">
        <f>IF(D28&gt;0,MIN(D28,-C31),0)</f>
        <v>0</v>
      </c>
      <c r="E30" s="307">
        <f>IF(E28&gt;0,MIN(E28,-D31),0)</f>
        <v>0</v>
      </c>
      <c r="F30" s="307">
        <f t="shared" ref="F30:AM30" si="69">IF(F28&gt;0,MIN(F28,-E31),0)</f>
        <v>0</v>
      </c>
      <c r="G30" s="307">
        <f t="shared" si="69"/>
        <v>0</v>
      </c>
      <c r="H30" s="307">
        <f t="shared" si="69"/>
        <v>0</v>
      </c>
      <c r="I30" s="307">
        <f t="shared" si="69"/>
        <v>0</v>
      </c>
      <c r="J30" s="307">
        <f t="shared" si="69"/>
        <v>0</v>
      </c>
      <c r="K30" s="307">
        <f t="shared" si="69"/>
        <v>0</v>
      </c>
      <c r="L30" s="307">
        <f t="shared" si="69"/>
        <v>0</v>
      </c>
      <c r="M30" s="307">
        <f t="shared" si="69"/>
        <v>0</v>
      </c>
      <c r="N30" s="307">
        <f t="shared" si="69"/>
        <v>0</v>
      </c>
      <c r="O30" s="307">
        <f t="shared" si="69"/>
        <v>0</v>
      </c>
      <c r="P30" s="307">
        <f t="shared" si="69"/>
        <v>0</v>
      </c>
      <c r="Q30" s="307">
        <f t="shared" si="69"/>
        <v>0</v>
      </c>
      <c r="R30" s="307">
        <f t="shared" si="69"/>
        <v>0</v>
      </c>
      <c r="S30" s="307">
        <f t="shared" si="69"/>
        <v>0</v>
      </c>
      <c r="T30" s="307">
        <f t="shared" si="69"/>
        <v>0</v>
      </c>
      <c r="U30" s="307">
        <f t="shared" si="69"/>
        <v>0</v>
      </c>
      <c r="V30" s="307">
        <f t="shared" si="69"/>
        <v>0</v>
      </c>
      <c r="W30" s="307">
        <f t="shared" si="69"/>
        <v>0</v>
      </c>
      <c r="X30" s="307">
        <f t="shared" si="69"/>
        <v>0</v>
      </c>
      <c r="Y30" s="307">
        <f t="shared" si="69"/>
        <v>0</v>
      </c>
      <c r="Z30" s="307">
        <f t="shared" si="69"/>
        <v>0</v>
      </c>
      <c r="AA30" s="307">
        <f t="shared" si="69"/>
        <v>0</v>
      </c>
      <c r="AB30" s="307">
        <f t="shared" si="69"/>
        <v>0</v>
      </c>
      <c r="AC30" s="307">
        <f t="shared" si="69"/>
        <v>0</v>
      </c>
      <c r="AD30" s="307">
        <f t="shared" si="69"/>
        <v>0</v>
      </c>
      <c r="AE30" s="307">
        <f t="shared" si="69"/>
        <v>0</v>
      </c>
      <c r="AF30" s="307">
        <f t="shared" si="69"/>
        <v>0</v>
      </c>
      <c r="AG30" s="307">
        <f t="shared" si="69"/>
        <v>0</v>
      </c>
      <c r="AH30" s="307">
        <f t="shared" si="69"/>
        <v>0</v>
      </c>
      <c r="AI30" s="307">
        <f t="shared" si="69"/>
        <v>0</v>
      </c>
      <c r="AJ30" s="307">
        <f t="shared" si="69"/>
        <v>0</v>
      </c>
      <c r="AK30" s="307">
        <f t="shared" si="69"/>
        <v>0</v>
      </c>
      <c r="AL30" s="307">
        <f t="shared" si="69"/>
        <v>0</v>
      </c>
      <c r="AM30" s="307">
        <f t="shared" si="69"/>
        <v>0</v>
      </c>
    </row>
    <row r="31" spans="1:42">
      <c r="A31" s="467" t="s">
        <v>153</v>
      </c>
      <c r="B31" s="310"/>
      <c r="C31" s="310">
        <f>C29+C30</f>
        <v>0</v>
      </c>
      <c r="D31" s="454">
        <f>C31+D29+D30</f>
        <v>0</v>
      </c>
      <c r="E31" s="454">
        <f>D31+E29+E30</f>
        <v>0</v>
      </c>
      <c r="F31" s="454">
        <f t="shared" ref="F31:AM31" si="70">E31+F29+F30</f>
        <v>0</v>
      </c>
      <c r="G31" s="454">
        <f t="shared" si="70"/>
        <v>0</v>
      </c>
      <c r="H31" s="454">
        <f t="shared" si="70"/>
        <v>0</v>
      </c>
      <c r="I31" s="454">
        <f t="shared" si="70"/>
        <v>0</v>
      </c>
      <c r="J31" s="454">
        <f t="shared" si="70"/>
        <v>0</v>
      </c>
      <c r="K31" s="454">
        <f t="shared" si="70"/>
        <v>0</v>
      </c>
      <c r="L31" s="454">
        <f t="shared" si="70"/>
        <v>0</v>
      </c>
      <c r="M31" s="454">
        <f t="shared" si="70"/>
        <v>0</v>
      </c>
      <c r="N31" s="454">
        <f t="shared" si="70"/>
        <v>0</v>
      </c>
      <c r="O31" s="454">
        <f t="shared" si="70"/>
        <v>0</v>
      </c>
      <c r="P31" s="454">
        <f t="shared" si="70"/>
        <v>0</v>
      </c>
      <c r="Q31" s="454">
        <f t="shared" si="70"/>
        <v>0</v>
      </c>
      <c r="R31" s="454">
        <f t="shared" si="70"/>
        <v>0</v>
      </c>
      <c r="S31" s="454">
        <f t="shared" si="70"/>
        <v>0</v>
      </c>
      <c r="T31" s="454">
        <f t="shared" si="70"/>
        <v>0</v>
      </c>
      <c r="U31" s="454">
        <f t="shared" si="70"/>
        <v>0</v>
      </c>
      <c r="V31" s="454">
        <f t="shared" si="70"/>
        <v>0</v>
      </c>
      <c r="W31" s="454">
        <f t="shared" si="70"/>
        <v>0</v>
      </c>
      <c r="X31" s="454">
        <f t="shared" si="70"/>
        <v>0</v>
      </c>
      <c r="Y31" s="454">
        <f t="shared" si="70"/>
        <v>0</v>
      </c>
      <c r="Z31" s="454">
        <f t="shared" si="70"/>
        <v>0</v>
      </c>
      <c r="AA31" s="454">
        <f t="shared" si="70"/>
        <v>0</v>
      </c>
      <c r="AB31" s="454">
        <f t="shared" si="70"/>
        <v>0</v>
      </c>
      <c r="AC31" s="454">
        <f t="shared" si="70"/>
        <v>0</v>
      </c>
      <c r="AD31" s="454">
        <f t="shared" si="70"/>
        <v>0</v>
      </c>
      <c r="AE31" s="454">
        <f t="shared" si="70"/>
        <v>0</v>
      </c>
      <c r="AF31" s="454">
        <f t="shared" si="70"/>
        <v>0</v>
      </c>
      <c r="AG31" s="454">
        <f t="shared" si="70"/>
        <v>0</v>
      </c>
      <c r="AH31" s="454">
        <f t="shared" si="70"/>
        <v>0</v>
      </c>
      <c r="AI31" s="454">
        <f t="shared" si="70"/>
        <v>0</v>
      </c>
      <c r="AJ31" s="454">
        <f t="shared" si="70"/>
        <v>0</v>
      </c>
      <c r="AK31" s="454">
        <f t="shared" si="70"/>
        <v>0</v>
      </c>
      <c r="AL31" s="454">
        <f t="shared" si="70"/>
        <v>0</v>
      </c>
      <c r="AM31" s="454">
        <f t="shared" si="70"/>
        <v>0</v>
      </c>
    </row>
    <row r="32" spans="1:42" s="144" customFormat="1">
      <c r="A32" s="464"/>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row>
    <row r="33" spans="1:39" s="144" customFormat="1">
      <c r="A33" s="487" t="s">
        <v>154</v>
      </c>
      <c r="B33" s="488"/>
      <c r="C33" s="468">
        <f>(MAX(0,C28)-C30)</f>
        <v>0</v>
      </c>
      <c r="D33" s="468">
        <f>(MAX(0,D28)-D30)</f>
        <v>0</v>
      </c>
      <c r="E33" s="468">
        <f>(MAX(0,E28)-E30)</f>
        <v>0</v>
      </c>
      <c r="F33" s="468">
        <f t="shared" ref="F33:AM33" si="71">(MAX(0,F28)-F30)</f>
        <v>0</v>
      </c>
      <c r="G33" s="468">
        <f t="shared" si="71"/>
        <v>0</v>
      </c>
      <c r="H33" s="468">
        <f t="shared" si="71"/>
        <v>0</v>
      </c>
      <c r="I33" s="468">
        <f t="shared" si="71"/>
        <v>0</v>
      </c>
      <c r="J33" s="468">
        <f t="shared" si="71"/>
        <v>0</v>
      </c>
      <c r="K33" s="468">
        <f t="shared" si="71"/>
        <v>0</v>
      </c>
      <c r="L33" s="468">
        <f t="shared" si="71"/>
        <v>0</v>
      </c>
      <c r="M33" s="468">
        <f t="shared" si="71"/>
        <v>0</v>
      </c>
      <c r="N33" s="468">
        <f t="shared" si="71"/>
        <v>0</v>
      </c>
      <c r="O33" s="468">
        <f t="shared" si="71"/>
        <v>0</v>
      </c>
      <c r="P33" s="468">
        <f t="shared" si="71"/>
        <v>0</v>
      </c>
      <c r="Q33" s="468">
        <f t="shared" si="71"/>
        <v>0</v>
      </c>
      <c r="R33" s="468">
        <f t="shared" si="71"/>
        <v>0</v>
      </c>
      <c r="S33" s="468">
        <f t="shared" si="71"/>
        <v>0</v>
      </c>
      <c r="T33" s="468">
        <f t="shared" si="71"/>
        <v>0</v>
      </c>
      <c r="U33" s="468">
        <f t="shared" si="71"/>
        <v>0</v>
      </c>
      <c r="V33" s="468">
        <f t="shared" si="71"/>
        <v>0</v>
      </c>
      <c r="W33" s="468">
        <f t="shared" si="71"/>
        <v>0</v>
      </c>
      <c r="X33" s="468">
        <f t="shared" si="71"/>
        <v>0</v>
      </c>
      <c r="Y33" s="468">
        <f t="shared" si="71"/>
        <v>0</v>
      </c>
      <c r="Z33" s="468">
        <f t="shared" si="71"/>
        <v>0</v>
      </c>
      <c r="AA33" s="468">
        <f t="shared" si="71"/>
        <v>0</v>
      </c>
      <c r="AB33" s="468">
        <f t="shared" si="71"/>
        <v>0</v>
      </c>
      <c r="AC33" s="468">
        <f t="shared" si="71"/>
        <v>0</v>
      </c>
      <c r="AD33" s="468">
        <f t="shared" si="71"/>
        <v>0</v>
      </c>
      <c r="AE33" s="468">
        <f t="shared" si="71"/>
        <v>0</v>
      </c>
      <c r="AF33" s="468">
        <f t="shared" si="71"/>
        <v>0</v>
      </c>
      <c r="AG33" s="468">
        <f t="shared" si="71"/>
        <v>0</v>
      </c>
      <c r="AH33" s="468">
        <f t="shared" si="71"/>
        <v>0</v>
      </c>
      <c r="AI33" s="468">
        <f t="shared" si="71"/>
        <v>0</v>
      </c>
      <c r="AJ33" s="468">
        <f t="shared" si="71"/>
        <v>0</v>
      </c>
      <c r="AK33" s="468">
        <f t="shared" si="71"/>
        <v>0</v>
      </c>
      <c r="AL33" s="468">
        <f t="shared" si="71"/>
        <v>0</v>
      </c>
      <c r="AM33" s="468">
        <f t="shared" si="71"/>
        <v>0</v>
      </c>
    </row>
    <row r="34" spans="1:39">
      <c r="A34" s="469"/>
      <c r="B34" s="311"/>
      <c r="C34" s="311"/>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row>
    <row r="35" spans="1:39">
      <c r="A35" s="469"/>
      <c r="B35" s="311"/>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row>
    <row r="36" spans="1:39">
      <c r="A36" s="469"/>
      <c r="B36" s="311"/>
      <c r="C36" s="311"/>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row>
    <row r="37" spans="1:39">
      <c r="A37" s="469"/>
      <c r="B37" s="311"/>
      <c r="C37" s="311"/>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row>
    <row r="38" spans="1:39">
      <c r="A38" s="469"/>
      <c r="B38" s="311"/>
      <c r="C38" s="311"/>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row>
    <row r="39" spans="1:39">
      <c r="A39" s="469"/>
      <c r="B39" s="311"/>
      <c r="C39" s="311"/>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row>
    <row r="40" spans="1:39">
      <c r="A40" s="469"/>
      <c r="B40" s="311"/>
      <c r="C40" s="311"/>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row>
    <row r="41" spans="1:39">
      <c r="A41" s="469"/>
      <c r="B41" s="311"/>
      <c r="C41" s="311"/>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row>
    <row r="42" spans="1:39">
      <c r="A42" s="469"/>
      <c r="B42" s="311"/>
      <c r="C42" s="311"/>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row>
    <row r="43" spans="1:39">
      <c r="B43" s="311"/>
      <c r="C43" s="311"/>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row>
    <row r="44" spans="1:39">
      <c r="B44" s="311"/>
      <c r="C44" s="311"/>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row>
    <row r="45" spans="1:39">
      <c r="B45" s="311"/>
      <c r="C45" s="311"/>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row>
    <row r="46" spans="1:39">
      <c r="B46" s="311"/>
      <c r="C46" s="311"/>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row>
    <row r="47" spans="1:39">
      <c r="B47" s="311"/>
      <c r="C47" s="311"/>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row>
    <row r="48" spans="1:39">
      <c r="B48" s="311"/>
      <c r="C48" s="311"/>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row>
    <row r="49" spans="2:39">
      <c r="B49" s="311"/>
      <c r="C49" s="311"/>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row>
    <row r="50" spans="2:39">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row>
    <row r="51" spans="2:39">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row>
    <row r="52" spans="2:39">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row>
    <row r="53" spans="2:39">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row>
    <row r="54" spans="2:3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row>
    <row r="55" spans="2:39">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row>
    <row r="56" spans="2:39">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row>
    <row r="57" spans="2:39">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row>
    <row r="58" spans="2:39">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row>
    <row r="59" spans="2:39">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row>
    <row r="60" spans="2:39">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row>
    <row r="61" spans="2:39">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row>
    <row r="62" spans="2:39">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row>
    <row r="63" spans="2:39">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row>
    <row r="64" spans="2:39">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row>
    <row r="65" spans="2:39">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row>
    <row r="66" spans="2:39">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row>
    <row r="67" spans="2:39">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row>
    <row r="68" spans="2:39">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row>
    <row r="69" spans="2:39">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row>
    <row r="70" spans="2:39">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row>
    <row r="71" spans="2:39">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row>
    <row r="72" spans="2:39">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row>
    <row r="73" spans="2:39">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row>
    <row r="74" spans="2:39">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row>
    <row r="75" spans="2:39">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row>
    <row r="76" spans="2:39">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row>
    <row r="77" spans="2:39">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row>
    <row r="78" spans="2:39">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row>
    <row r="79" spans="2:39">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row>
    <row r="80" spans="2:39">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row>
  </sheetData>
  <sheetProtection algorithmName="SHA-512" hashValue="5wo7NLGaQXbBQY/XwLR2Gk8OYyHNOoe/2GOxeEf/cK8/Vw5WtK8bOjTtVOTXjGmBCnQKUSeAYvcAI6qaBzO2fQ==" saltValue="nrar60LE2urzInOw1JFnsw==" spinCount="100000" sheet="1" objects="1" scenarios="1"/>
  <mergeCells count="1">
    <mergeCell ref="A1:B1"/>
  </mergeCells>
  <phoneticPr fontId="0" type="noConversion"/>
  <printOptions horizontalCentered="1"/>
  <pageMargins left="0.5" right="0.5" top="0.5" bottom="0.5" header="0.5" footer="0.5"/>
  <pageSetup fitToWidth="0" orientation="landscape" r:id="rId1"/>
  <headerFooter alignWithMargins="0"/>
  <colBreaks count="4" manualBreakCount="4">
    <brk id="8" max="1048575" man="1"/>
    <brk id="14" max="1048575" man="1"/>
    <brk id="20" max="1048575" man="1"/>
    <brk id="26"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8618-B206-4D95-A1F1-C80C87859FFF}">
  <dimension ref="A1:I57"/>
  <sheetViews>
    <sheetView zoomScaleNormal="100" workbookViewId="0">
      <selection activeCell="D11" sqref="D11"/>
    </sheetView>
  </sheetViews>
  <sheetFormatPr defaultRowHeight="12.7" outlineLevelRow="1"/>
  <cols>
    <col min="1" max="1" width="2.8203125" style="76" bestFit="1" customWidth="1"/>
    <col min="2" max="2" width="14.29296875" style="76" customWidth="1"/>
    <col min="3" max="3" width="10.29296875" style="76" bestFit="1" customWidth="1"/>
    <col min="4" max="4" width="11.17578125" style="154" customWidth="1"/>
    <col min="5" max="5" width="10.17578125" style="76" customWidth="1"/>
    <col min="6" max="6" width="8.41015625" style="76" bestFit="1" customWidth="1"/>
    <col min="7" max="7" width="8.9375" style="76"/>
    <col min="8" max="8" width="10.3515625" style="76" bestFit="1" customWidth="1"/>
    <col min="9" max="9" width="13.64453125" style="76" bestFit="1" customWidth="1"/>
    <col min="10" max="16384" width="8.9375" style="76"/>
  </cols>
  <sheetData>
    <row r="1" spans="1:9" s="144" customFormat="1">
      <c r="B1" s="538" t="s">
        <v>333</v>
      </c>
      <c r="C1" s="538"/>
      <c r="D1" s="538"/>
      <c r="E1" s="538"/>
      <c r="F1" s="538"/>
      <c r="G1" s="538"/>
      <c r="H1" s="538"/>
      <c r="I1" s="538"/>
    </row>
    <row r="2" spans="1:9" ht="13.7">
      <c r="B2" s="78" t="str">
        <f>("Project: "&amp;Project)</f>
        <v xml:space="preserve">Project: </v>
      </c>
      <c r="C2" s="183"/>
      <c r="D2" s="76"/>
      <c r="E2" s="78" t="str">
        <f>("Developer: "&amp;Developer)</f>
        <v xml:space="preserve">Developer: </v>
      </c>
    </row>
    <row r="3" spans="1:9" ht="13.7">
      <c r="B3" s="78"/>
      <c r="C3" s="183"/>
      <c r="D3" s="76"/>
      <c r="E3" s="78"/>
    </row>
    <row r="4" spans="1:9">
      <c r="B4" s="78"/>
      <c r="C4" s="305" t="s">
        <v>18</v>
      </c>
      <c r="D4" s="76"/>
      <c r="E4" s="78"/>
    </row>
    <row r="5" spans="1:9">
      <c r="B5" s="76" t="s">
        <v>343</v>
      </c>
      <c r="C5" s="180">
        <f>'2)Units&amp;Revenue'!H56</f>
        <v>0</v>
      </c>
      <c r="D5" s="484"/>
      <c r="G5" s="76" t="s">
        <v>342</v>
      </c>
      <c r="I5" s="180" t="e">
        <f>SUM(I15:I56)</f>
        <v>#DIV/0!</v>
      </c>
    </row>
    <row r="6" spans="1:9">
      <c r="B6" s="76" t="s">
        <v>344</v>
      </c>
      <c r="C6" s="180">
        <f>('3)Operating Budget'!D74-'3)Operating Budget'!D59)/12</f>
        <v>250</v>
      </c>
      <c r="D6" s="489"/>
      <c r="G6" s="76" t="s">
        <v>334</v>
      </c>
      <c r="I6" s="180">
        <f>SUMIF(I15:I56,"&lt;0")</f>
        <v>0</v>
      </c>
    </row>
    <row r="7" spans="1:9">
      <c r="B7" s="76" t="s">
        <v>345</v>
      </c>
      <c r="C7" s="180">
        <f>'3)Operating Budget'!D59/12</f>
        <v>0</v>
      </c>
      <c r="G7" s="76" t="s">
        <v>335</v>
      </c>
      <c r="I7" s="180">
        <f>SUMIF(I15:I56,"&gt;0")</f>
        <v>0</v>
      </c>
    </row>
    <row r="8" spans="1:9">
      <c r="B8" s="76" t="s">
        <v>346</v>
      </c>
      <c r="C8" s="496" t="s">
        <v>331</v>
      </c>
      <c r="G8" s="76" t="s">
        <v>380</v>
      </c>
      <c r="I8" s="497">
        <v>0.75</v>
      </c>
    </row>
    <row r="9" spans="1:9">
      <c r="G9" s="76" t="s">
        <v>347</v>
      </c>
      <c r="I9" s="180">
        <f>I8*I7</f>
        <v>0</v>
      </c>
    </row>
    <row r="11" spans="1:9">
      <c r="B11" s="76" t="s">
        <v>330</v>
      </c>
      <c r="D11" s="498">
        <v>37257</v>
      </c>
      <c r="E11" s="490" t="s">
        <v>382</v>
      </c>
    </row>
    <row r="12" spans="1:9">
      <c r="B12" s="76" t="s">
        <v>336</v>
      </c>
      <c r="D12" s="498">
        <v>37622</v>
      </c>
    </row>
    <row r="13" spans="1:9">
      <c r="D13" s="76"/>
    </row>
    <row r="14" spans="1:9" ht="38">
      <c r="A14" s="537" t="s">
        <v>61</v>
      </c>
      <c r="B14" s="537"/>
      <c r="C14" s="491" t="s">
        <v>337</v>
      </c>
      <c r="D14" s="492" t="s">
        <v>338</v>
      </c>
      <c r="E14" s="491" t="s">
        <v>339</v>
      </c>
      <c r="F14" s="491" t="s">
        <v>340</v>
      </c>
      <c r="G14" s="491" t="s">
        <v>341</v>
      </c>
      <c r="H14" s="491" t="s">
        <v>41</v>
      </c>
      <c r="I14" s="491" t="s">
        <v>332</v>
      </c>
    </row>
    <row r="15" spans="1:9">
      <c r="A15" s="493">
        <v>1</v>
      </c>
      <c r="B15" s="494">
        <f>D11</f>
        <v>37257</v>
      </c>
      <c r="C15" s="270"/>
      <c r="D15" s="495" t="e">
        <f t="shared" ref="D15:D56" si="0">IF($B15&gt;=$D$12,"",C15/Units)</f>
        <v>#DIV/0!</v>
      </c>
      <c r="E15" s="274" t="e">
        <f t="shared" ref="E15:E56" si="1">IF($B15&gt;=$D$12,"",D15*$C$5)</f>
        <v>#DIV/0!</v>
      </c>
      <c r="F15" s="274">
        <f t="shared" ref="F15:F56" si="2">IF($B15&gt;=$D$12,"",$C$6)</f>
        <v>250</v>
      </c>
      <c r="G15" s="274" t="e">
        <f t="shared" ref="G15:G56" si="3">IF($B15&gt;=$D$12,"",IF($C$8="Delivery",$C$7,IF(E15&gt;($C$6+$C$7),$C$7,0)))</f>
        <v>#DIV/0!</v>
      </c>
      <c r="H15" s="274" t="str">
        <f t="shared" ref="H15:H20" si="4">IFERROR(F15+G15,"")</f>
        <v/>
      </c>
      <c r="I15" s="274" t="e">
        <f t="shared" ref="I15:I56" si="5">IF($B15&gt;=$D$12,"Post Conversion",E15-H15)</f>
        <v>#DIV/0!</v>
      </c>
    </row>
    <row r="16" spans="1:9">
      <c r="A16" s="493">
        <v>2</v>
      </c>
      <c r="B16" s="494">
        <f>EDATE(B15,1)</f>
        <v>37288</v>
      </c>
      <c r="C16" s="270"/>
      <c r="D16" s="495" t="e">
        <f t="shared" si="0"/>
        <v>#DIV/0!</v>
      </c>
      <c r="E16" s="274" t="e">
        <f t="shared" si="1"/>
        <v>#DIV/0!</v>
      </c>
      <c r="F16" s="274">
        <f t="shared" si="2"/>
        <v>250</v>
      </c>
      <c r="G16" s="274" t="e">
        <f t="shared" si="3"/>
        <v>#DIV/0!</v>
      </c>
      <c r="H16" s="274" t="str">
        <f t="shared" si="4"/>
        <v/>
      </c>
      <c r="I16" s="274" t="e">
        <f t="shared" si="5"/>
        <v>#DIV/0!</v>
      </c>
    </row>
    <row r="17" spans="1:9">
      <c r="A17" s="493">
        <v>3</v>
      </c>
      <c r="B17" s="494">
        <f t="shared" ref="B17:B56" si="6">EDATE(B16,1)</f>
        <v>37316</v>
      </c>
      <c r="C17" s="270"/>
      <c r="D17" s="495" t="e">
        <f t="shared" si="0"/>
        <v>#DIV/0!</v>
      </c>
      <c r="E17" s="274" t="e">
        <f t="shared" si="1"/>
        <v>#DIV/0!</v>
      </c>
      <c r="F17" s="274">
        <f t="shared" si="2"/>
        <v>250</v>
      </c>
      <c r="G17" s="274" t="e">
        <f t="shared" si="3"/>
        <v>#DIV/0!</v>
      </c>
      <c r="H17" s="274" t="str">
        <f t="shared" si="4"/>
        <v/>
      </c>
      <c r="I17" s="274" t="e">
        <f t="shared" si="5"/>
        <v>#DIV/0!</v>
      </c>
    </row>
    <row r="18" spans="1:9">
      <c r="A18" s="493">
        <v>4</v>
      </c>
      <c r="B18" s="494">
        <f t="shared" si="6"/>
        <v>37347</v>
      </c>
      <c r="C18" s="270"/>
      <c r="D18" s="495" t="e">
        <f t="shared" si="0"/>
        <v>#DIV/0!</v>
      </c>
      <c r="E18" s="274" t="e">
        <f t="shared" si="1"/>
        <v>#DIV/0!</v>
      </c>
      <c r="F18" s="274">
        <f t="shared" si="2"/>
        <v>250</v>
      </c>
      <c r="G18" s="274" t="e">
        <f t="shared" si="3"/>
        <v>#DIV/0!</v>
      </c>
      <c r="H18" s="274" t="str">
        <f t="shared" si="4"/>
        <v/>
      </c>
      <c r="I18" s="274" t="e">
        <f t="shared" si="5"/>
        <v>#DIV/0!</v>
      </c>
    </row>
    <row r="19" spans="1:9">
      <c r="A19" s="493">
        <v>5</v>
      </c>
      <c r="B19" s="494">
        <f t="shared" si="6"/>
        <v>37377</v>
      </c>
      <c r="C19" s="270"/>
      <c r="D19" s="495" t="e">
        <f t="shared" si="0"/>
        <v>#DIV/0!</v>
      </c>
      <c r="E19" s="274" t="e">
        <f t="shared" si="1"/>
        <v>#DIV/0!</v>
      </c>
      <c r="F19" s="274">
        <f t="shared" si="2"/>
        <v>250</v>
      </c>
      <c r="G19" s="274" t="e">
        <f t="shared" si="3"/>
        <v>#DIV/0!</v>
      </c>
      <c r="H19" s="274" t="str">
        <f t="shared" si="4"/>
        <v/>
      </c>
      <c r="I19" s="274" t="e">
        <f t="shared" si="5"/>
        <v>#DIV/0!</v>
      </c>
    </row>
    <row r="20" spans="1:9">
      <c r="A20" s="493">
        <v>6</v>
      </c>
      <c r="B20" s="494">
        <f t="shared" si="6"/>
        <v>37408</v>
      </c>
      <c r="C20" s="270"/>
      <c r="D20" s="495" t="e">
        <f t="shared" si="0"/>
        <v>#DIV/0!</v>
      </c>
      <c r="E20" s="274" t="e">
        <f t="shared" si="1"/>
        <v>#DIV/0!</v>
      </c>
      <c r="F20" s="274">
        <f t="shared" si="2"/>
        <v>250</v>
      </c>
      <c r="G20" s="274" t="e">
        <f t="shared" si="3"/>
        <v>#DIV/0!</v>
      </c>
      <c r="H20" s="274" t="str">
        <f t="shared" si="4"/>
        <v/>
      </c>
      <c r="I20" s="274" t="e">
        <f t="shared" si="5"/>
        <v>#DIV/0!</v>
      </c>
    </row>
    <row r="21" spans="1:9">
      <c r="A21" s="493">
        <v>7</v>
      </c>
      <c r="B21" s="494">
        <f t="shared" si="6"/>
        <v>37438</v>
      </c>
      <c r="C21" s="270"/>
      <c r="D21" s="495" t="e">
        <f t="shared" si="0"/>
        <v>#DIV/0!</v>
      </c>
      <c r="E21" s="274" t="e">
        <f t="shared" si="1"/>
        <v>#DIV/0!</v>
      </c>
      <c r="F21" s="274">
        <f t="shared" si="2"/>
        <v>250</v>
      </c>
      <c r="G21" s="274" t="e">
        <f t="shared" si="3"/>
        <v>#DIV/0!</v>
      </c>
      <c r="H21" s="274" t="str">
        <f t="shared" ref="H21:H39" si="7">IFERROR(F21+G21,"")</f>
        <v/>
      </c>
      <c r="I21" s="274" t="e">
        <f t="shared" si="5"/>
        <v>#DIV/0!</v>
      </c>
    </row>
    <row r="22" spans="1:9">
      <c r="A22" s="493">
        <v>8</v>
      </c>
      <c r="B22" s="494">
        <f t="shared" si="6"/>
        <v>37469</v>
      </c>
      <c r="C22" s="270"/>
      <c r="D22" s="495" t="e">
        <f t="shared" si="0"/>
        <v>#DIV/0!</v>
      </c>
      <c r="E22" s="274" t="e">
        <f t="shared" si="1"/>
        <v>#DIV/0!</v>
      </c>
      <c r="F22" s="274">
        <f t="shared" si="2"/>
        <v>250</v>
      </c>
      <c r="G22" s="274" t="e">
        <f t="shared" si="3"/>
        <v>#DIV/0!</v>
      </c>
      <c r="H22" s="274" t="str">
        <f t="shared" si="7"/>
        <v/>
      </c>
      <c r="I22" s="274" t="e">
        <f t="shared" si="5"/>
        <v>#DIV/0!</v>
      </c>
    </row>
    <row r="23" spans="1:9">
      <c r="A23" s="493">
        <v>9</v>
      </c>
      <c r="B23" s="494">
        <f t="shared" si="6"/>
        <v>37500</v>
      </c>
      <c r="C23" s="270"/>
      <c r="D23" s="495" t="e">
        <f t="shared" si="0"/>
        <v>#DIV/0!</v>
      </c>
      <c r="E23" s="274" t="e">
        <f t="shared" si="1"/>
        <v>#DIV/0!</v>
      </c>
      <c r="F23" s="274">
        <f t="shared" si="2"/>
        <v>250</v>
      </c>
      <c r="G23" s="274" t="e">
        <f t="shared" si="3"/>
        <v>#DIV/0!</v>
      </c>
      <c r="H23" s="274" t="str">
        <f t="shared" si="7"/>
        <v/>
      </c>
      <c r="I23" s="274" t="e">
        <f t="shared" si="5"/>
        <v>#DIV/0!</v>
      </c>
    </row>
    <row r="24" spans="1:9">
      <c r="A24" s="493">
        <v>10</v>
      </c>
      <c r="B24" s="494">
        <f t="shared" si="6"/>
        <v>37530</v>
      </c>
      <c r="C24" s="270"/>
      <c r="D24" s="495" t="e">
        <f t="shared" si="0"/>
        <v>#DIV/0!</v>
      </c>
      <c r="E24" s="274" t="e">
        <f t="shared" si="1"/>
        <v>#DIV/0!</v>
      </c>
      <c r="F24" s="274">
        <f t="shared" si="2"/>
        <v>250</v>
      </c>
      <c r="G24" s="274" t="e">
        <f t="shared" si="3"/>
        <v>#DIV/0!</v>
      </c>
      <c r="H24" s="274" t="str">
        <f t="shared" si="7"/>
        <v/>
      </c>
      <c r="I24" s="274" t="e">
        <f t="shared" si="5"/>
        <v>#DIV/0!</v>
      </c>
    </row>
    <row r="25" spans="1:9">
      <c r="A25" s="493">
        <v>11</v>
      </c>
      <c r="B25" s="494">
        <f t="shared" si="6"/>
        <v>37561</v>
      </c>
      <c r="C25" s="270"/>
      <c r="D25" s="495" t="e">
        <f t="shared" si="0"/>
        <v>#DIV/0!</v>
      </c>
      <c r="E25" s="274" t="e">
        <f t="shared" si="1"/>
        <v>#DIV/0!</v>
      </c>
      <c r="F25" s="274">
        <f t="shared" si="2"/>
        <v>250</v>
      </c>
      <c r="G25" s="274" t="e">
        <f t="shared" si="3"/>
        <v>#DIV/0!</v>
      </c>
      <c r="H25" s="274" t="str">
        <f t="shared" si="7"/>
        <v/>
      </c>
      <c r="I25" s="274" t="e">
        <f t="shared" si="5"/>
        <v>#DIV/0!</v>
      </c>
    </row>
    <row r="26" spans="1:9">
      <c r="A26" s="493">
        <v>12</v>
      </c>
      <c r="B26" s="494">
        <f t="shared" si="6"/>
        <v>37591</v>
      </c>
      <c r="C26" s="270"/>
      <c r="D26" s="495" t="e">
        <f t="shared" si="0"/>
        <v>#DIV/0!</v>
      </c>
      <c r="E26" s="274" t="e">
        <f t="shared" si="1"/>
        <v>#DIV/0!</v>
      </c>
      <c r="F26" s="274">
        <f t="shared" si="2"/>
        <v>250</v>
      </c>
      <c r="G26" s="274" t="e">
        <f t="shared" si="3"/>
        <v>#DIV/0!</v>
      </c>
      <c r="H26" s="274" t="str">
        <f t="shared" si="7"/>
        <v/>
      </c>
      <c r="I26" s="274" t="e">
        <f t="shared" si="5"/>
        <v>#DIV/0!</v>
      </c>
    </row>
    <row r="27" spans="1:9">
      <c r="A27" s="493">
        <v>13</v>
      </c>
      <c r="B27" s="494">
        <f t="shared" si="6"/>
        <v>37622</v>
      </c>
      <c r="C27" s="270"/>
      <c r="D27" s="495" t="str">
        <f t="shared" si="0"/>
        <v/>
      </c>
      <c r="E27" s="274" t="str">
        <f t="shared" si="1"/>
        <v/>
      </c>
      <c r="F27" s="274" t="str">
        <f t="shared" si="2"/>
        <v/>
      </c>
      <c r="G27" s="274" t="str">
        <f t="shared" si="3"/>
        <v/>
      </c>
      <c r="H27" s="274" t="str">
        <f t="shared" si="7"/>
        <v/>
      </c>
      <c r="I27" s="274" t="str">
        <f t="shared" si="5"/>
        <v>Post Conversion</v>
      </c>
    </row>
    <row r="28" spans="1:9">
      <c r="A28" s="493">
        <v>14</v>
      </c>
      <c r="B28" s="494">
        <f t="shared" si="6"/>
        <v>37653</v>
      </c>
      <c r="C28" s="270"/>
      <c r="D28" s="495" t="str">
        <f t="shared" si="0"/>
        <v/>
      </c>
      <c r="E28" s="274" t="str">
        <f t="shared" si="1"/>
        <v/>
      </c>
      <c r="F28" s="274" t="str">
        <f t="shared" si="2"/>
        <v/>
      </c>
      <c r="G28" s="274" t="str">
        <f t="shared" si="3"/>
        <v/>
      </c>
      <c r="H28" s="274" t="str">
        <f t="shared" si="7"/>
        <v/>
      </c>
      <c r="I28" s="274" t="str">
        <f t="shared" si="5"/>
        <v>Post Conversion</v>
      </c>
    </row>
    <row r="29" spans="1:9">
      <c r="A29" s="493">
        <v>15</v>
      </c>
      <c r="B29" s="494">
        <f t="shared" si="6"/>
        <v>37681</v>
      </c>
      <c r="C29" s="270"/>
      <c r="D29" s="495" t="str">
        <f t="shared" si="0"/>
        <v/>
      </c>
      <c r="E29" s="274" t="str">
        <f t="shared" si="1"/>
        <v/>
      </c>
      <c r="F29" s="274" t="str">
        <f t="shared" si="2"/>
        <v/>
      </c>
      <c r="G29" s="274" t="str">
        <f t="shared" si="3"/>
        <v/>
      </c>
      <c r="H29" s="274" t="str">
        <f t="shared" si="7"/>
        <v/>
      </c>
      <c r="I29" s="274" t="str">
        <f t="shared" si="5"/>
        <v>Post Conversion</v>
      </c>
    </row>
    <row r="30" spans="1:9">
      <c r="A30" s="493">
        <v>16</v>
      </c>
      <c r="B30" s="494">
        <f t="shared" si="6"/>
        <v>37712</v>
      </c>
      <c r="C30" s="270"/>
      <c r="D30" s="495" t="str">
        <f t="shared" si="0"/>
        <v/>
      </c>
      <c r="E30" s="274" t="str">
        <f t="shared" si="1"/>
        <v/>
      </c>
      <c r="F30" s="274" t="str">
        <f t="shared" si="2"/>
        <v/>
      </c>
      <c r="G30" s="274" t="str">
        <f t="shared" si="3"/>
        <v/>
      </c>
      <c r="H30" s="274" t="str">
        <f t="shared" si="7"/>
        <v/>
      </c>
      <c r="I30" s="274" t="str">
        <f t="shared" si="5"/>
        <v>Post Conversion</v>
      </c>
    </row>
    <row r="31" spans="1:9">
      <c r="A31" s="493">
        <v>17</v>
      </c>
      <c r="B31" s="494">
        <f t="shared" si="6"/>
        <v>37742</v>
      </c>
      <c r="C31" s="270"/>
      <c r="D31" s="495" t="str">
        <f t="shared" si="0"/>
        <v/>
      </c>
      <c r="E31" s="274" t="str">
        <f t="shared" si="1"/>
        <v/>
      </c>
      <c r="F31" s="274" t="str">
        <f t="shared" si="2"/>
        <v/>
      </c>
      <c r="G31" s="274" t="str">
        <f t="shared" si="3"/>
        <v/>
      </c>
      <c r="H31" s="274" t="str">
        <f t="shared" si="7"/>
        <v/>
      </c>
      <c r="I31" s="274" t="str">
        <f t="shared" si="5"/>
        <v>Post Conversion</v>
      </c>
    </row>
    <row r="32" spans="1:9">
      <c r="A32" s="493">
        <v>18</v>
      </c>
      <c r="B32" s="494">
        <f t="shared" si="6"/>
        <v>37773</v>
      </c>
      <c r="C32" s="270"/>
      <c r="D32" s="495" t="str">
        <f t="shared" si="0"/>
        <v/>
      </c>
      <c r="E32" s="274" t="str">
        <f t="shared" si="1"/>
        <v/>
      </c>
      <c r="F32" s="274" t="str">
        <f t="shared" si="2"/>
        <v/>
      </c>
      <c r="G32" s="274" t="str">
        <f t="shared" si="3"/>
        <v/>
      </c>
      <c r="H32" s="274" t="str">
        <f t="shared" si="7"/>
        <v/>
      </c>
      <c r="I32" s="274" t="str">
        <f t="shared" si="5"/>
        <v>Post Conversion</v>
      </c>
    </row>
    <row r="33" spans="1:9">
      <c r="A33" s="493">
        <v>19</v>
      </c>
      <c r="B33" s="494">
        <f t="shared" si="6"/>
        <v>37803</v>
      </c>
      <c r="C33" s="270"/>
      <c r="D33" s="495" t="str">
        <f t="shared" si="0"/>
        <v/>
      </c>
      <c r="E33" s="274" t="str">
        <f t="shared" si="1"/>
        <v/>
      </c>
      <c r="F33" s="274" t="str">
        <f t="shared" si="2"/>
        <v/>
      </c>
      <c r="G33" s="274" t="str">
        <f t="shared" si="3"/>
        <v/>
      </c>
      <c r="H33" s="274" t="str">
        <f t="shared" si="7"/>
        <v/>
      </c>
      <c r="I33" s="274" t="str">
        <f t="shared" si="5"/>
        <v>Post Conversion</v>
      </c>
    </row>
    <row r="34" spans="1:9">
      <c r="A34" s="493">
        <v>20</v>
      </c>
      <c r="B34" s="494">
        <f t="shared" si="6"/>
        <v>37834</v>
      </c>
      <c r="C34" s="270"/>
      <c r="D34" s="495" t="str">
        <f t="shared" si="0"/>
        <v/>
      </c>
      <c r="E34" s="274" t="str">
        <f t="shared" si="1"/>
        <v/>
      </c>
      <c r="F34" s="274" t="str">
        <f t="shared" si="2"/>
        <v/>
      </c>
      <c r="G34" s="274" t="str">
        <f t="shared" si="3"/>
        <v/>
      </c>
      <c r="H34" s="274" t="str">
        <f t="shared" si="7"/>
        <v/>
      </c>
      <c r="I34" s="274" t="str">
        <f t="shared" si="5"/>
        <v>Post Conversion</v>
      </c>
    </row>
    <row r="35" spans="1:9">
      <c r="A35" s="493">
        <v>21</v>
      </c>
      <c r="B35" s="494">
        <f t="shared" si="6"/>
        <v>37865</v>
      </c>
      <c r="C35" s="270"/>
      <c r="D35" s="495" t="str">
        <f t="shared" si="0"/>
        <v/>
      </c>
      <c r="E35" s="274" t="str">
        <f t="shared" si="1"/>
        <v/>
      </c>
      <c r="F35" s="274" t="str">
        <f t="shared" si="2"/>
        <v/>
      </c>
      <c r="G35" s="274" t="str">
        <f t="shared" si="3"/>
        <v/>
      </c>
      <c r="H35" s="274" t="str">
        <f t="shared" si="7"/>
        <v/>
      </c>
      <c r="I35" s="274" t="str">
        <f t="shared" si="5"/>
        <v>Post Conversion</v>
      </c>
    </row>
    <row r="36" spans="1:9">
      <c r="A36" s="493">
        <v>22</v>
      </c>
      <c r="B36" s="494">
        <f t="shared" si="6"/>
        <v>37895</v>
      </c>
      <c r="C36" s="270"/>
      <c r="D36" s="495" t="str">
        <f t="shared" si="0"/>
        <v/>
      </c>
      <c r="E36" s="274" t="str">
        <f t="shared" si="1"/>
        <v/>
      </c>
      <c r="F36" s="274" t="str">
        <f t="shared" si="2"/>
        <v/>
      </c>
      <c r="G36" s="274" t="str">
        <f t="shared" si="3"/>
        <v/>
      </c>
      <c r="H36" s="274" t="str">
        <f t="shared" si="7"/>
        <v/>
      </c>
      <c r="I36" s="274" t="str">
        <f t="shared" si="5"/>
        <v>Post Conversion</v>
      </c>
    </row>
    <row r="37" spans="1:9">
      <c r="A37" s="493">
        <v>23</v>
      </c>
      <c r="B37" s="494">
        <f t="shared" si="6"/>
        <v>37926</v>
      </c>
      <c r="C37" s="270"/>
      <c r="D37" s="495" t="str">
        <f t="shared" si="0"/>
        <v/>
      </c>
      <c r="E37" s="274" t="str">
        <f t="shared" si="1"/>
        <v/>
      </c>
      <c r="F37" s="274" t="str">
        <f t="shared" si="2"/>
        <v/>
      </c>
      <c r="G37" s="274" t="str">
        <f t="shared" si="3"/>
        <v/>
      </c>
      <c r="H37" s="274" t="str">
        <f t="shared" si="7"/>
        <v/>
      </c>
      <c r="I37" s="274" t="str">
        <f t="shared" si="5"/>
        <v>Post Conversion</v>
      </c>
    </row>
    <row r="38" spans="1:9">
      <c r="A38" s="493">
        <v>24</v>
      </c>
      <c r="B38" s="494">
        <f t="shared" si="6"/>
        <v>37956</v>
      </c>
      <c r="C38" s="270"/>
      <c r="D38" s="495" t="str">
        <f t="shared" si="0"/>
        <v/>
      </c>
      <c r="E38" s="274" t="str">
        <f t="shared" si="1"/>
        <v/>
      </c>
      <c r="F38" s="274" t="str">
        <f t="shared" si="2"/>
        <v/>
      </c>
      <c r="G38" s="274" t="str">
        <f t="shared" si="3"/>
        <v/>
      </c>
      <c r="H38" s="274" t="str">
        <f t="shared" si="7"/>
        <v/>
      </c>
      <c r="I38" s="274" t="str">
        <f t="shared" si="5"/>
        <v>Post Conversion</v>
      </c>
    </row>
    <row r="39" spans="1:9">
      <c r="A39" s="493">
        <v>25</v>
      </c>
      <c r="B39" s="494">
        <f t="shared" si="6"/>
        <v>37987</v>
      </c>
      <c r="C39" s="270"/>
      <c r="D39" s="495" t="str">
        <f t="shared" si="0"/>
        <v/>
      </c>
      <c r="E39" s="274" t="str">
        <f t="shared" si="1"/>
        <v/>
      </c>
      <c r="F39" s="274" t="str">
        <f t="shared" si="2"/>
        <v/>
      </c>
      <c r="G39" s="274" t="str">
        <f t="shared" si="3"/>
        <v/>
      </c>
      <c r="H39" s="274" t="str">
        <f t="shared" si="7"/>
        <v/>
      </c>
      <c r="I39" s="274" t="str">
        <f t="shared" si="5"/>
        <v>Post Conversion</v>
      </c>
    </row>
    <row r="40" spans="1:9">
      <c r="A40" s="493">
        <v>26</v>
      </c>
      <c r="B40" s="494">
        <f t="shared" si="6"/>
        <v>38018</v>
      </c>
      <c r="C40" s="270"/>
      <c r="D40" s="495" t="str">
        <f t="shared" si="0"/>
        <v/>
      </c>
      <c r="E40" s="274" t="str">
        <f t="shared" si="1"/>
        <v/>
      </c>
      <c r="F40" s="274" t="str">
        <f t="shared" si="2"/>
        <v/>
      </c>
      <c r="G40" s="274" t="str">
        <f t="shared" si="3"/>
        <v/>
      </c>
      <c r="H40" s="274" t="str">
        <f t="shared" ref="H40:H56" si="8">IFERROR(F40+G40,"")</f>
        <v/>
      </c>
      <c r="I40" s="274" t="str">
        <f t="shared" si="5"/>
        <v>Post Conversion</v>
      </c>
    </row>
    <row r="41" spans="1:9">
      <c r="A41" s="493">
        <v>27</v>
      </c>
      <c r="B41" s="494">
        <f t="shared" si="6"/>
        <v>38047</v>
      </c>
      <c r="C41" s="270"/>
      <c r="D41" s="495" t="str">
        <f t="shared" si="0"/>
        <v/>
      </c>
      <c r="E41" s="274" t="str">
        <f t="shared" si="1"/>
        <v/>
      </c>
      <c r="F41" s="274" t="str">
        <f t="shared" si="2"/>
        <v/>
      </c>
      <c r="G41" s="274" t="str">
        <f t="shared" si="3"/>
        <v/>
      </c>
      <c r="H41" s="274" t="str">
        <f t="shared" si="8"/>
        <v/>
      </c>
      <c r="I41" s="274" t="str">
        <f t="shared" si="5"/>
        <v>Post Conversion</v>
      </c>
    </row>
    <row r="42" spans="1:9">
      <c r="A42" s="493">
        <v>28</v>
      </c>
      <c r="B42" s="494">
        <f t="shared" si="6"/>
        <v>38078</v>
      </c>
      <c r="C42" s="270"/>
      <c r="D42" s="495" t="str">
        <f t="shared" si="0"/>
        <v/>
      </c>
      <c r="E42" s="274" t="str">
        <f t="shared" si="1"/>
        <v/>
      </c>
      <c r="F42" s="274" t="str">
        <f t="shared" si="2"/>
        <v/>
      </c>
      <c r="G42" s="274" t="str">
        <f t="shared" si="3"/>
        <v/>
      </c>
      <c r="H42" s="274" t="str">
        <f t="shared" si="8"/>
        <v/>
      </c>
      <c r="I42" s="274" t="str">
        <f t="shared" si="5"/>
        <v>Post Conversion</v>
      </c>
    </row>
    <row r="43" spans="1:9">
      <c r="A43" s="493">
        <v>29</v>
      </c>
      <c r="B43" s="494">
        <f t="shared" si="6"/>
        <v>38108</v>
      </c>
      <c r="C43" s="270"/>
      <c r="D43" s="495" t="str">
        <f t="shared" si="0"/>
        <v/>
      </c>
      <c r="E43" s="274" t="str">
        <f t="shared" si="1"/>
        <v/>
      </c>
      <c r="F43" s="274" t="str">
        <f t="shared" si="2"/>
        <v/>
      </c>
      <c r="G43" s="274" t="str">
        <f t="shared" si="3"/>
        <v/>
      </c>
      <c r="H43" s="274" t="str">
        <f t="shared" si="8"/>
        <v/>
      </c>
      <c r="I43" s="274" t="str">
        <f t="shared" si="5"/>
        <v>Post Conversion</v>
      </c>
    </row>
    <row r="44" spans="1:9">
      <c r="A44" s="493">
        <v>30</v>
      </c>
      <c r="B44" s="494">
        <f t="shared" si="6"/>
        <v>38139</v>
      </c>
      <c r="C44" s="270"/>
      <c r="D44" s="495" t="str">
        <f t="shared" si="0"/>
        <v/>
      </c>
      <c r="E44" s="274" t="str">
        <f t="shared" si="1"/>
        <v/>
      </c>
      <c r="F44" s="274" t="str">
        <f t="shared" si="2"/>
        <v/>
      </c>
      <c r="G44" s="274" t="str">
        <f t="shared" si="3"/>
        <v/>
      </c>
      <c r="H44" s="274" t="str">
        <f t="shared" si="8"/>
        <v/>
      </c>
      <c r="I44" s="274" t="str">
        <f t="shared" si="5"/>
        <v>Post Conversion</v>
      </c>
    </row>
    <row r="45" spans="1:9">
      <c r="A45" s="493">
        <v>31</v>
      </c>
      <c r="B45" s="494">
        <f t="shared" si="6"/>
        <v>38169</v>
      </c>
      <c r="C45" s="270"/>
      <c r="D45" s="495" t="str">
        <f t="shared" si="0"/>
        <v/>
      </c>
      <c r="E45" s="274" t="str">
        <f t="shared" si="1"/>
        <v/>
      </c>
      <c r="F45" s="274" t="str">
        <f t="shared" si="2"/>
        <v/>
      </c>
      <c r="G45" s="274" t="str">
        <f t="shared" si="3"/>
        <v/>
      </c>
      <c r="H45" s="274" t="str">
        <f t="shared" si="8"/>
        <v/>
      </c>
      <c r="I45" s="274" t="str">
        <f t="shared" si="5"/>
        <v>Post Conversion</v>
      </c>
    </row>
    <row r="46" spans="1:9">
      <c r="A46" s="493">
        <v>32</v>
      </c>
      <c r="B46" s="494">
        <f t="shared" si="6"/>
        <v>38200</v>
      </c>
      <c r="C46" s="270"/>
      <c r="D46" s="495" t="str">
        <f t="shared" si="0"/>
        <v/>
      </c>
      <c r="E46" s="274" t="str">
        <f t="shared" si="1"/>
        <v/>
      </c>
      <c r="F46" s="274" t="str">
        <f t="shared" si="2"/>
        <v/>
      </c>
      <c r="G46" s="274" t="str">
        <f t="shared" si="3"/>
        <v/>
      </c>
      <c r="H46" s="274" t="str">
        <f t="shared" si="8"/>
        <v/>
      </c>
      <c r="I46" s="274" t="str">
        <f t="shared" si="5"/>
        <v>Post Conversion</v>
      </c>
    </row>
    <row r="47" spans="1:9">
      <c r="A47" s="493">
        <v>33</v>
      </c>
      <c r="B47" s="494">
        <f t="shared" si="6"/>
        <v>38231</v>
      </c>
      <c r="C47" s="270"/>
      <c r="D47" s="495" t="str">
        <f t="shared" si="0"/>
        <v/>
      </c>
      <c r="E47" s="274" t="str">
        <f t="shared" si="1"/>
        <v/>
      </c>
      <c r="F47" s="274" t="str">
        <f t="shared" si="2"/>
        <v/>
      </c>
      <c r="G47" s="274" t="str">
        <f t="shared" si="3"/>
        <v/>
      </c>
      <c r="H47" s="274" t="str">
        <f t="shared" si="8"/>
        <v/>
      </c>
      <c r="I47" s="274" t="str">
        <f t="shared" si="5"/>
        <v>Post Conversion</v>
      </c>
    </row>
    <row r="48" spans="1:9">
      <c r="A48" s="493">
        <v>34</v>
      </c>
      <c r="B48" s="494">
        <f t="shared" si="6"/>
        <v>38261</v>
      </c>
      <c r="C48" s="270"/>
      <c r="D48" s="495" t="str">
        <f t="shared" si="0"/>
        <v/>
      </c>
      <c r="E48" s="274" t="str">
        <f t="shared" si="1"/>
        <v/>
      </c>
      <c r="F48" s="274" t="str">
        <f t="shared" si="2"/>
        <v/>
      </c>
      <c r="G48" s="274" t="str">
        <f t="shared" si="3"/>
        <v/>
      </c>
      <c r="H48" s="274" t="str">
        <f t="shared" si="8"/>
        <v/>
      </c>
      <c r="I48" s="274" t="str">
        <f t="shared" si="5"/>
        <v>Post Conversion</v>
      </c>
    </row>
    <row r="49" spans="1:9">
      <c r="A49" s="493">
        <v>35</v>
      </c>
      <c r="B49" s="494">
        <f t="shared" si="6"/>
        <v>38292</v>
      </c>
      <c r="C49" s="270"/>
      <c r="D49" s="495" t="str">
        <f t="shared" si="0"/>
        <v/>
      </c>
      <c r="E49" s="274" t="str">
        <f t="shared" si="1"/>
        <v/>
      </c>
      <c r="F49" s="274" t="str">
        <f t="shared" si="2"/>
        <v/>
      </c>
      <c r="G49" s="274" t="str">
        <f t="shared" si="3"/>
        <v/>
      </c>
      <c r="H49" s="274" t="str">
        <f t="shared" si="8"/>
        <v/>
      </c>
      <c r="I49" s="274" t="str">
        <f t="shared" si="5"/>
        <v>Post Conversion</v>
      </c>
    </row>
    <row r="50" spans="1:9">
      <c r="A50" s="493">
        <v>36</v>
      </c>
      <c r="B50" s="494">
        <f t="shared" si="6"/>
        <v>38322</v>
      </c>
      <c r="C50" s="270"/>
      <c r="D50" s="495" t="str">
        <f t="shared" si="0"/>
        <v/>
      </c>
      <c r="E50" s="274" t="str">
        <f t="shared" si="1"/>
        <v/>
      </c>
      <c r="F50" s="274" t="str">
        <f t="shared" si="2"/>
        <v/>
      </c>
      <c r="G50" s="274" t="str">
        <f t="shared" si="3"/>
        <v/>
      </c>
      <c r="H50" s="274" t="str">
        <f t="shared" si="8"/>
        <v/>
      </c>
      <c r="I50" s="274" t="str">
        <f t="shared" si="5"/>
        <v>Post Conversion</v>
      </c>
    </row>
    <row r="51" spans="1:9" hidden="1" outlineLevel="1">
      <c r="A51" s="493">
        <v>37</v>
      </c>
      <c r="B51" s="494">
        <f t="shared" si="6"/>
        <v>38353</v>
      </c>
      <c r="C51" s="270"/>
      <c r="D51" s="495" t="str">
        <f t="shared" si="0"/>
        <v/>
      </c>
      <c r="E51" s="274" t="str">
        <f t="shared" si="1"/>
        <v/>
      </c>
      <c r="F51" s="274" t="str">
        <f t="shared" si="2"/>
        <v/>
      </c>
      <c r="G51" s="274" t="str">
        <f t="shared" si="3"/>
        <v/>
      </c>
      <c r="H51" s="274" t="str">
        <f t="shared" si="8"/>
        <v/>
      </c>
      <c r="I51" s="274" t="str">
        <f t="shared" si="5"/>
        <v>Post Conversion</v>
      </c>
    </row>
    <row r="52" spans="1:9" hidden="1" outlineLevel="1">
      <c r="A52" s="493">
        <v>38</v>
      </c>
      <c r="B52" s="494">
        <f t="shared" si="6"/>
        <v>38384</v>
      </c>
      <c r="C52" s="270"/>
      <c r="D52" s="495" t="str">
        <f t="shared" si="0"/>
        <v/>
      </c>
      <c r="E52" s="274" t="str">
        <f t="shared" si="1"/>
        <v/>
      </c>
      <c r="F52" s="274" t="str">
        <f t="shared" si="2"/>
        <v/>
      </c>
      <c r="G52" s="274" t="str">
        <f t="shared" si="3"/>
        <v/>
      </c>
      <c r="H52" s="274" t="str">
        <f t="shared" si="8"/>
        <v/>
      </c>
      <c r="I52" s="274" t="str">
        <f t="shared" si="5"/>
        <v>Post Conversion</v>
      </c>
    </row>
    <row r="53" spans="1:9" hidden="1" outlineLevel="1">
      <c r="A53" s="493">
        <v>39</v>
      </c>
      <c r="B53" s="494">
        <f t="shared" si="6"/>
        <v>38412</v>
      </c>
      <c r="C53" s="270"/>
      <c r="D53" s="495" t="str">
        <f t="shared" si="0"/>
        <v/>
      </c>
      <c r="E53" s="274" t="str">
        <f t="shared" si="1"/>
        <v/>
      </c>
      <c r="F53" s="274" t="str">
        <f t="shared" si="2"/>
        <v/>
      </c>
      <c r="G53" s="274" t="str">
        <f t="shared" si="3"/>
        <v/>
      </c>
      <c r="H53" s="274" t="str">
        <f t="shared" si="8"/>
        <v/>
      </c>
      <c r="I53" s="274" t="str">
        <f t="shared" si="5"/>
        <v>Post Conversion</v>
      </c>
    </row>
    <row r="54" spans="1:9" hidden="1" outlineLevel="1">
      <c r="A54" s="493">
        <v>40</v>
      </c>
      <c r="B54" s="494">
        <f t="shared" si="6"/>
        <v>38443</v>
      </c>
      <c r="C54" s="270"/>
      <c r="D54" s="495" t="str">
        <f t="shared" si="0"/>
        <v/>
      </c>
      <c r="E54" s="274" t="str">
        <f t="shared" si="1"/>
        <v/>
      </c>
      <c r="F54" s="274" t="str">
        <f t="shared" si="2"/>
        <v/>
      </c>
      <c r="G54" s="274" t="str">
        <f t="shared" si="3"/>
        <v/>
      </c>
      <c r="H54" s="274" t="str">
        <f t="shared" si="8"/>
        <v/>
      </c>
      <c r="I54" s="274" t="str">
        <f t="shared" si="5"/>
        <v>Post Conversion</v>
      </c>
    </row>
    <row r="55" spans="1:9" hidden="1" outlineLevel="1">
      <c r="A55" s="493">
        <v>41</v>
      </c>
      <c r="B55" s="494">
        <f t="shared" si="6"/>
        <v>38473</v>
      </c>
      <c r="C55" s="270"/>
      <c r="D55" s="495" t="str">
        <f t="shared" si="0"/>
        <v/>
      </c>
      <c r="E55" s="274" t="str">
        <f t="shared" si="1"/>
        <v/>
      </c>
      <c r="F55" s="274" t="str">
        <f t="shared" si="2"/>
        <v/>
      </c>
      <c r="G55" s="274" t="str">
        <f t="shared" si="3"/>
        <v/>
      </c>
      <c r="H55" s="274" t="str">
        <f t="shared" si="8"/>
        <v/>
      </c>
      <c r="I55" s="274" t="str">
        <f t="shared" si="5"/>
        <v>Post Conversion</v>
      </c>
    </row>
    <row r="56" spans="1:9" hidden="1" outlineLevel="1">
      <c r="A56" s="493">
        <v>42</v>
      </c>
      <c r="B56" s="494">
        <f t="shared" si="6"/>
        <v>38504</v>
      </c>
      <c r="C56" s="270"/>
      <c r="D56" s="495" t="str">
        <f t="shared" si="0"/>
        <v/>
      </c>
      <c r="E56" s="274" t="str">
        <f t="shared" si="1"/>
        <v/>
      </c>
      <c r="F56" s="274" t="str">
        <f t="shared" si="2"/>
        <v/>
      </c>
      <c r="G56" s="274" t="str">
        <f t="shared" si="3"/>
        <v/>
      </c>
      <c r="H56" s="274" t="str">
        <f t="shared" si="8"/>
        <v/>
      </c>
      <c r="I56" s="274" t="str">
        <f t="shared" si="5"/>
        <v>Post Conversion</v>
      </c>
    </row>
    <row r="57" spans="1:9" collapsed="1"/>
  </sheetData>
  <sheetProtection algorithmName="SHA-512" hashValue="ySJf4y3e8lTLv0Z2tetR6J8bTSvrQjyNsLoNyOrCmNQadOaITLiR3oALWEedlK2q0mmqZEBWpPSyqhUJJJeO0A==" saltValue="6RMjzRtS3ZMBQ0SMtg5KYQ==" spinCount="100000" sheet="1" objects="1" scenarios="1"/>
  <mergeCells count="2">
    <mergeCell ref="A14:B14"/>
    <mergeCell ref="B1:I1"/>
  </mergeCells>
  <dataValidations count="2">
    <dataValidation type="list" allowBlank="1" showInputMessage="1" showErrorMessage="1" sqref="C8" xr:uid="{7EFCD54C-81E0-46DE-B71F-3E5B41D5F9C0}">
      <formula1>"Break Even,Delivery,Conversion"</formula1>
    </dataValidation>
    <dataValidation type="whole" allowBlank="1" showInputMessage="1" showErrorMessage="1" sqref="C15:C56" xr:uid="{CFD30C93-BAF7-47B2-868F-04E3AF47DB82}">
      <formula1>0</formula1>
      <formula2>Units</formula2>
    </dataValidation>
  </dataValidations>
  <pageMargins left="0.7" right="0.7" top="0.75" bottom="0.75" header="0.3" footer="0.3"/>
  <pageSetup scale="9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548C0DFC6A04CA5CB27982DFD8AB6" ma:contentTypeVersion="15" ma:contentTypeDescription="Create a new document." ma:contentTypeScope="" ma:versionID="8bfafc65ad1ee061588be456e11898ef">
  <xsd:schema xmlns:xsd="http://www.w3.org/2001/XMLSchema" xmlns:xs="http://www.w3.org/2001/XMLSchema" xmlns:p="http://schemas.microsoft.com/office/2006/metadata/properties" xmlns:ns3="e2ffe4c6-224e-4526-ac36-a35983d01ded" xmlns:ns4="abab31e9-7142-434c-a7f8-ffb1dae4926b" targetNamespace="http://schemas.microsoft.com/office/2006/metadata/properties" ma:root="true" ma:fieldsID="1f60a5f94b5c6f85f25c3b97e1803aac" ns3:_="" ns4:_="">
    <xsd:import namespace="e2ffe4c6-224e-4526-ac36-a35983d01ded"/>
    <xsd:import namespace="abab31e9-7142-434c-a7f8-ffb1dae4926b"/>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fe4c6-224e-4526-ac36-a35983d01d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ab31e9-7142-434c-a7f8-ffb1dae4926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D911A-7AC8-4AF6-81D6-E0E96565021C}">
  <ds:schemaRefs>
    <ds:schemaRef ds:uri="http://schemas.microsoft.com/sharepoint/v3/contenttype/forms"/>
  </ds:schemaRefs>
</ds:datastoreItem>
</file>

<file path=customXml/itemProps2.xml><?xml version="1.0" encoding="utf-8"?>
<ds:datastoreItem xmlns:ds="http://schemas.openxmlformats.org/officeDocument/2006/customXml" ds:itemID="{6E44882A-0282-4E7E-ADA8-A4BA9D6B8740}">
  <ds:schemaRefs>
    <ds:schemaRef ds:uri="http://purl.org/dc/elements/1.1/"/>
    <ds:schemaRef ds:uri="http://schemas.microsoft.com/office/infopath/2007/PartnerControls"/>
    <ds:schemaRef ds:uri="http://schemas.microsoft.com/office/2006/metadata/properties"/>
    <ds:schemaRef ds:uri="http://purl.org/dc/terms/"/>
    <ds:schemaRef ds:uri="e2ffe4c6-224e-4526-ac36-a35983d01ded"/>
    <ds:schemaRef ds:uri="http://schemas.microsoft.com/office/2006/documentManagement/types"/>
    <ds:schemaRef ds:uri="abab31e9-7142-434c-a7f8-ffb1dae4926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D17D054-20C9-49D9-9EE4-5E123E3AE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fe4c6-224e-4526-ac36-a35983d01ded"/>
    <ds:schemaRef ds:uri="abab31e9-7142-434c-a7f8-ffb1dae49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0)Instructions</vt:lpstr>
      <vt:lpstr>1)Summary &amp; Gap</vt:lpstr>
      <vt:lpstr>2)Units&amp;Revenue</vt:lpstr>
      <vt:lpstr>3)Operating Budget</vt:lpstr>
      <vt:lpstr>4)20 Yr Projection</vt:lpstr>
      <vt:lpstr>5)Dev Budget</vt:lpstr>
      <vt:lpstr>6)TC Equity</vt:lpstr>
      <vt:lpstr>7)Const Cash Flow</vt:lpstr>
      <vt:lpstr>8)Lease-Up</vt:lpstr>
      <vt:lpstr>DDF</vt:lpstr>
      <vt:lpstr>Developer</vt:lpstr>
      <vt:lpstr>Equity</vt:lpstr>
      <vt:lpstr>MktUnits</vt:lpstr>
      <vt:lpstr>'1)Summary &amp; Gap'!Print_Area</vt:lpstr>
      <vt:lpstr>'2)Units&amp;Revenue'!Print_Area</vt:lpstr>
      <vt:lpstr>'4)20 Yr Projection'!Print_Titles</vt:lpstr>
      <vt:lpstr>'7)Const Cash Flow'!Print_Titles</vt:lpstr>
      <vt:lpstr>Project</vt:lpstr>
      <vt:lpstr>SqFt</vt:lpstr>
      <vt:lpstr>TDC</vt:lpstr>
      <vt:lpstr>UA0B</vt:lpstr>
      <vt:lpstr>UA1B</vt:lpstr>
      <vt:lpstr>UA2B</vt:lpstr>
      <vt:lpstr>UA3B</vt:lpstr>
      <vt:lpstr>UA4B</vt:lpstr>
      <vt:lpstr>Units</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Lathom</dc:creator>
  <cp:lastModifiedBy>Stephen S. Lathom</cp:lastModifiedBy>
  <cp:lastPrinted>2023-01-31T05:11:19Z</cp:lastPrinted>
  <dcterms:created xsi:type="dcterms:W3CDTF">2008-11-27T20:23:46Z</dcterms:created>
  <dcterms:modified xsi:type="dcterms:W3CDTF">2023-02-01T16:45:54Z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0x010100591548C0DFC6A04CA5CB27982DFD8AB6</vt:lpwstr>
  </property>
</Properties>
</file>